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308" windowWidth="14808" windowHeight="3828"/>
  </bookViews>
  <sheets>
    <sheet name="ФСГС" sheetId="8" r:id="rId1"/>
  </sheets>
  <definedNames>
    <definedName name="_xlnm.Print_Titles" localSheetId="0">ФСГС!$14:$14</definedName>
    <definedName name="_xlnm.Print_Area" localSheetId="0">ФСГС!$A$1:$AB$600</definedName>
  </definedNames>
  <calcPr calcId="145621" refMode="R1C1"/>
</workbook>
</file>

<file path=xl/calcChain.xml><?xml version="1.0" encoding="utf-8"?>
<calcChain xmlns="http://schemas.openxmlformats.org/spreadsheetml/2006/main">
  <c r="Z24" i="8" l="1"/>
  <c r="Y24" i="8"/>
  <c r="X24" i="8"/>
  <c r="W30" i="8"/>
  <c r="AA595" i="8" l="1"/>
  <c r="AA596" i="8"/>
  <c r="AA594" i="8"/>
  <c r="U594" i="8"/>
  <c r="V594" i="8"/>
  <c r="W594" i="8"/>
  <c r="X594" i="8"/>
  <c r="Y594" i="8"/>
  <c r="Z594" i="8"/>
  <c r="T594" i="8"/>
  <c r="W24" i="8" l="1"/>
  <c r="W45" i="8"/>
  <c r="Z25" i="8" l="1"/>
  <c r="Y25" i="8"/>
  <c r="X25" i="8"/>
  <c r="W160" i="8"/>
  <c r="W73" i="8" l="1"/>
  <c r="W74" i="8"/>
  <c r="W75" i="8"/>
  <c r="W98" i="8" l="1"/>
  <c r="W135" i="8"/>
  <c r="W102" i="8"/>
  <c r="W128" i="8"/>
  <c r="W151" i="8"/>
  <c r="W149" i="8"/>
  <c r="W147" i="8"/>
  <c r="W507" i="8"/>
  <c r="W585" i="8"/>
  <c r="W324" i="8"/>
  <c r="AA519" i="8" l="1"/>
  <c r="W61" i="8" l="1"/>
  <c r="W186" i="8" l="1"/>
  <c r="W190" i="8"/>
  <c r="W145" i="8"/>
  <c r="W86" i="8"/>
  <c r="W68" i="8"/>
  <c r="AA517" i="8" l="1"/>
  <c r="AA515" i="8"/>
  <c r="AA156" i="8"/>
  <c r="AA154" i="8"/>
  <c r="W104" i="8" l="1"/>
  <c r="W43" i="8"/>
  <c r="Z26" i="8" l="1"/>
  <c r="Y26" i="8"/>
  <c r="W159" i="8" l="1"/>
  <c r="W158" i="8"/>
  <c r="AA412" i="8" l="1"/>
  <c r="AA413" i="8"/>
  <c r="AA414" i="8"/>
  <c r="AA415" i="8"/>
  <c r="AA416" i="8"/>
  <c r="AA417" i="8"/>
  <c r="AA418" i="8"/>
  <c r="AA419" i="8"/>
  <c r="W411" i="8"/>
  <c r="AA411" i="8" s="1"/>
  <c r="AA317" i="8"/>
  <c r="AA318" i="8"/>
  <c r="AA319" i="8"/>
  <c r="AA320" i="8"/>
  <c r="AA321" i="8"/>
  <c r="AA322" i="8"/>
  <c r="AA323" i="8"/>
  <c r="AA324" i="8"/>
  <c r="AA325" i="8"/>
  <c r="AA326" i="8"/>
  <c r="AA327" i="8"/>
  <c r="X316" i="8"/>
  <c r="Y316" i="8"/>
  <c r="Z316" i="8"/>
  <c r="W316" i="8"/>
  <c r="AA316" i="8" s="1"/>
  <c r="AA275" i="8"/>
  <c r="AA277" i="8"/>
  <c r="AA280" i="8"/>
  <c r="AA281" i="8"/>
  <c r="AA282" i="8"/>
  <c r="X273" i="8"/>
  <c r="Y273" i="8"/>
  <c r="Z273" i="8"/>
  <c r="W273" i="8"/>
  <c r="AA235" i="8"/>
  <c r="AA236" i="8"/>
  <c r="AA237" i="8"/>
  <c r="AA234" i="8"/>
  <c r="AA228" i="8"/>
  <c r="AA232" i="8"/>
  <c r="AA233" i="8"/>
  <c r="W226" i="8"/>
  <c r="W511" i="8" l="1"/>
  <c r="W25" i="8" l="1"/>
  <c r="W120" i="8" l="1"/>
  <c r="V231" i="8" l="1"/>
  <c r="U231" i="8"/>
  <c r="AA231" i="8" s="1"/>
  <c r="V230" i="8"/>
  <c r="U230" i="8"/>
  <c r="AA230" i="8" s="1"/>
  <c r="AA46" i="8" l="1"/>
  <c r="AA44" i="8"/>
  <c r="AA45" i="8"/>
  <c r="W117" i="8" l="1"/>
  <c r="V136" i="8" l="1"/>
  <c r="U136" i="8"/>
  <c r="V43" i="8"/>
  <c r="U43" i="8"/>
  <c r="U543" i="8" l="1"/>
  <c r="V416" i="8" l="1"/>
  <c r="V211" i="8"/>
  <c r="V197" i="8"/>
  <c r="V128" i="8"/>
  <c r="V102" i="8"/>
  <c r="V98" i="8"/>
  <c r="V90" i="8"/>
  <c r="V94" i="8"/>
  <c r="V57" i="8"/>
  <c r="V64" i="8"/>
  <c r="V117" i="8"/>
  <c r="V133" i="8" l="1"/>
  <c r="AA138" i="8"/>
  <c r="W28" i="8" l="1"/>
  <c r="W27" i="8"/>
  <c r="V24" i="8"/>
  <c r="V140" i="8" l="1"/>
  <c r="U507" i="8" l="1"/>
  <c r="V507" i="8"/>
  <c r="U508" i="8"/>
  <c r="V508" i="8"/>
  <c r="X506" i="8"/>
  <c r="Y506" i="8"/>
  <c r="Z506" i="8"/>
  <c r="W506" i="8"/>
  <c r="W133" i="8"/>
  <c r="AA507" i="8" l="1"/>
  <c r="AA508" i="8"/>
  <c r="X64" i="8"/>
  <c r="Y64" i="8"/>
  <c r="Z64" i="8"/>
  <c r="V115" i="8" l="1"/>
  <c r="V109" i="8" l="1"/>
  <c r="X492" i="8"/>
  <c r="X493" i="8"/>
  <c r="Y493" i="8"/>
  <c r="W493" i="8"/>
  <c r="W492" i="8"/>
  <c r="V161" i="8"/>
  <c r="V163" i="8"/>
  <c r="W222" i="8"/>
  <c r="X222" i="8"/>
  <c r="Y222" i="8"/>
  <c r="Z222" i="8"/>
  <c r="V222" i="8"/>
  <c r="U526" i="8"/>
  <c r="V526" i="8"/>
  <c r="W526" i="8"/>
  <c r="W523" i="8" s="1"/>
  <c r="X526" i="8"/>
  <c r="X523" i="8" s="1"/>
  <c r="Y526" i="8"/>
  <c r="Y523" i="8" s="1"/>
  <c r="Z526" i="8"/>
  <c r="Z523" i="8" s="1"/>
  <c r="T526" i="8"/>
  <c r="AA538" i="8"/>
  <c r="AA535" i="8"/>
  <c r="AA532" i="8"/>
  <c r="AA529" i="8"/>
  <c r="Z583" i="8"/>
  <c r="W583" i="8"/>
  <c r="X583" i="8"/>
  <c r="X581" i="8" s="1"/>
  <c r="Y583" i="8"/>
  <c r="V583" i="8"/>
  <c r="Z491" i="8"/>
  <c r="W491" i="8"/>
  <c r="AA513" i="8"/>
  <c r="AA512" i="8"/>
  <c r="V511" i="8"/>
  <c r="U511" i="8"/>
  <c r="T511" i="8"/>
  <c r="AA510" i="8"/>
  <c r="AA509" i="8"/>
  <c r="V506" i="8"/>
  <c r="U506" i="8"/>
  <c r="X503" i="8"/>
  <c r="Y503" i="8"/>
  <c r="X497" i="8"/>
  <c r="Y497" i="8"/>
  <c r="X500" i="8"/>
  <c r="Y500" i="8"/>
  <c r="X494" i="8"/>
  <c r="Y494" i="8"/>
  <c r="Y495" i="8"/>
  <c r="Y492" i="8" s="1"/>
  <c r="W224" i="8"/>
  <c r="X224" i="8"/>
  <c r="Y224" i="8"/>
  <c r="W225" i="8"/>
  <c r="X225" i="8"/>
  <c r="Y225" i="8"/>
  <c r="X488" i="8"/>
  <c r="Y210" i="8"/>
  <c r="Y208" i="8" s="1"/>
  <c r="Z210" i="8"/>
  <c r="Z208" i="8" s="1"/>
  <c r="Y203" i="8"/>
  <c r="Y201" i="8" s="1"/>
  <c r="Z203" i="8"/>
  <c r="Z201" i="8" s="1"/>
  <c r="Y196" i="8"/>
  <c r="Y194" i="8" s="1"/>
  <c r="Z196" i="8"/>
  <c r="Z194" i="8" s="1"/>
  <c r="Y189" i="8"/>
  <c r="Z189" i="8"/>
  <c r="Y491" i="8" l="1"/>
  <c r="X491" i="8"/>
  <c r="AA526" i="8"/>
  <c r="AA506" i="8"/>
  <c r="AA511" i="8"/>
  <c r="U145" i="8"/>
  <c r="AA145" i="8" s="1"/>
  <c r="U147" i="8"/>
  <c r="U149" i="8"/>
  <c r="AA149" i="8" s="1"/>
  <c r="U151" i="8"/>
  <c r="AA151" i="8" s="1"/>
  <c r="U143" i="8"/>
  <c r="AA152" i="8"/>
  <c r="AA150" i="8"/>
  <c r="AA148" i="8"/>
  <c r="AA146" i="8"/>
  <c r="Z144" i="8"/>
  <c r="Y144" i="8"/>
  <c r="X144" i="8"/>
  <c r="W144" i="8"/>
  <c r="Z143" i="8"/>
  <c r="Y143" i="8"/>
  <c r="X143" i="8"/>
  <c r="W143" i="8"/>
  <c r="W64" i="8"/>
  <c r="AA144" i="8" l="1"/>
  <c r="AA143" i="8"/>
  <c r="AA147" i="8"/>
  <c r="AA584" i="8"/>
  <c r="AA585" i="8"/>
  <c r="V415" i="8" l="1"/>
  <c r="V278" i="8"/>
  <c r="V279" i="8"/>
  <c r="AA279" i="8" s="1"/>
  <c r="V569" i="8"/>
  <c r="V571" i="8"/>
  <c r="V530" i="8"/>
  <c r="V536" i="8"/>
  <c r="V533" i="8"/>
  <c r="V111" i="8"/>
  <c r="V74" i="8"/>
  <c r="V75" i="8"/>
  <c r="V80" i="8"/>
  <c r="V79" i="8"/>
  <c r="V68" i="8"/>
  <c r="V59" i="8"/>
  <c r="V61" i="8"/>
  <c r="V204" i="8"/>
  <c r="V190" i="8"/>
  <c r="V524" i="8" l="1"/>
  <c r="V104" i="8"/>
  <c r="V225" i="8" l="1"/>
  <c r="V224" i="8"/>
  <c r="V411" i="8"/>
  <c r="V226" i="8"/>
  <c r="V273" i="8"/>
  <c r="V488" i="8" l="1"/>
  <c r="V223" i="8" s="1"/>
  <c r="V120" i="8" l="1"/>
  <c r="X210" i="8" l="1"/>
  <c r="W210" i="8"/>
  <c r="X203" i="8"/>
  <c r="W203" i="8"/>
  <c r="X196" i="8"/>
  <c r="W196" i="8"/>
  <c r="X189" i="8"/>
  <c r="W189" i="8"/>
  <c r="V25" i="8" l="1"/>
  <c r="W545" i="8"/>
  <c r="X545" i="8"/>
  <c r="V495" i="8"/>
  <c r="V503" i="8"/>
  <c r="V500" i="8"/>
  <c r="V497" i="8"/>
  <c r="V494" i="8"/>
  <c r="V186" i="8" l="1"/>
  <c r="V198" i="8" l="1"/>
  <c r="V199" i="8"/>
  <c r="V191" i="8"/>
  <c r="V192" i="8"/>
  <c r="V205" i="8"/>
  <c r="V206" i="8"/>
  <c r="V212" i="8"/>
  <c r="V213" i="8"/>
  <c r="AA103" i="8"/>
  <c r="W70" i="8"/>
  <c r="X70" i="8"/>
  <c r="Y70" i="8"/>
  <c r="Z70" i="8"/>
  <c r="T70" i="8"/>
  <c r="V210" i="8"/>
  <c r="V203" i="8"/>
  <c r="V196" i="8"/>
  <c r="V189" i="8"/>
  <c r="V557" i="8" l="1"/>
  <c r="V552" i="8"/>
  <c r="V549" i="8"/>
  <c r="V546" i="8"/>
  <c r="V545" i="8"/>
  <c r="V548" i="8"/>
  <c r="V551" i="8"/>
  <c r="V554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15" i="8" l="1"/>
  <c r="U321" i="8"/>
  <c r="U278" i="8"/>
  <c r="AA278" i="8" s="1"/>
  <c r="U137" i="8" l="1"/>
  <c r="U135" i="8"/>
  <c r="AA38" i="8"/>
  <c r="AA140" i="8"/>
  <c r="AA129" i="8"/>
  <c r="U222" i="8" l="1"/>
  <c r="U25" i="8" l="1"/>
  <c r="U163" i="8"/>
  <c r="U161" i="8"/>
  <c r="U111" i="8"/>
  <c r="U583" i="8"/>
  <c r="U128" i="8"/>
  <c r="U416" i="8"/>
  <c r="U411" i="8" s="1"/>
  <c r="U571" i="8"/>
  <c r="U536" i="8"/>
  <c r="U210" i="8"/>
  <c r="U211" i="8"/>
  <c r="U98" i="8"/>
  <c r="U64" i="8"/>
  <c r="U567" i="8"/>
  <c r="U530" i="8"/>
  <c r="U196" i="8"/>
  <c r="U195" i="8"/>
  <c r="U197" i="8"/>
  <c r="U90" i="8"/>
  <c r="U72" i="8"/>
  <c r="U70" i="8" s="1"/>
  <c r="U59" i="8"/>
  <c r="U323" i="8" l="1"/>
  <c r="U322" i="8"/>
  <c r="U569" i="8"/>
  <c r="U533" i="8"/>
  <c r="U203" i="8"/>
  <c r="U204" i="8"/>
  <c r="U113" i="8"/>
  <c r="U61" i="8"/>
  <c r="U190" i="8"/>
  <c r="U189" i="8"/>
  <c r="U68" i="8"/>
  <c r="U57" i="8"/>
  <c r="U102" i="8" l="1"/>
  <c r="U104" i="8" l="1"/>
  <c r="U117" i="8"/>
  <c r="U488" i="8"/>
  <c r="U591" i="8"/>
  <c r="X133" i="8" l="1"/>
  <c r="Y133" i="8"/>
  <c r="Z133" i="8"/>
  <c r="AA586" i="8" l="1"/>
  <c r="W581" i="8" l="1"/>
  <c r="X547" i="8" l="1"/>
  <c r="X550" i="8"/>
  <c r="X553" i="8"/>
  <c r="X542" i="8"/>
  <c r="AA126" i="8"/>
  <c r="X27" i="8"/>
  <c r="Y27" i="8"/>
  <c r="Z27" i="8"/>
  <c r="U120" i="8" l="1"/>
  <c r="U133" i="8" l="1"/>
  <c r="AA71" i="8" l="1"/>
  <c r="AA72" i="8"/>
  <c r="AA75" i="8"/>
  <c r="V130" i="8" l="1"/>
  <c r="W130" i="8"/>
  <c r="X130" i="8"/>
  <c r="Y130" i="8"/>
  <c r="Z130" i="8"/>
  <c r="U130" i="8" l="1"/>
  <c r="U528" i="8"/>
  <c r="U110" i="8"/>
  <c r="U86" i="8" l="1"/>
  <c r="U527" i="8"/>
  <c r="U209" i="8"/>
  <c r="U202" i="8"/>
  <c r="U188" i="8"/>
  <c r="U109" i="8"/>
  <c r="AA580" i="8" l="1"/>
  <c r="AA579" i="8"/>
  <c r="U224" i="8" l="1"/>
  <c r="U493" i="8"/>
  <c r="U492" i="8"/>
  <c r="U503" i="8"/>
  <c r="U500" i="8"/>
  <c r="U497" i="8"/>
  <c r="U494" i="8"/>
  <c r="U141" i="8"/>
  <c r="AA136" i="8" l="1"/>
  <c r="U216" i="8" l="1"/>
  <c r="U217" i="8"/>
  <c r="U183" i="8"/>
  <c r="U208" i="8"/>
  <c r="AA209" i="8"/>
  <c r="V208" i="8"/>
  <c r="W208" i="8"/>
  <c r="X208" i="8"/>
  <c r="V201" i="8"/>
  <c r="W201" i="8"/>
  <c r="X201" i="8"/>
  <c r="U201" i="8"/>
  <c r="AA202" i="8"/>
  <c r="V194" i="8"/>
  <c r="W194" i="8"/>
  <c r="X194" i="8"/>
  <c r="U194" i="8"/>
  <c r="T195" i="8"/>
  <c r="AA195" i="8" s="1"/>
  <c r="V187" i="8"/>
  <c r="W187" i="8"/>
  <c r="X187" i="8"/>
  <c r="Y187" i="8"/>
  <c r="Z187" i="8"/>
  <c r="AA188" i="8"/>
  <c r="AA189" i="8"/>
  <c r="AA190" i="8"/>
  <c r="U24" i="8"/>
  <c r="AA134" i="8"/>
  <c r="AA135" i="8"/>
  <c r="U225" i="8"/>
  <c r="U316" i="8"/>
  <c r="U273" i="8"/>
  <c r="U187" i="8" l="1"/>
  <c r="U226" i="8"/>
  <c r="U223" i="8" s="1"/>
  <c r="W223" i="8"/>
  <c r="X226" i="8"/>
  <c r="Y226" i="8"/>
  <c r="Z226" i="8"/>
  <c r="U131" i="8" l="1"/>
  <c r="U115" i="8" l="1"/>
  <c r="U185" i="8" l="1"/>
  <c r="U158" i="8" s="1"/>
  <c r="V185" i="8" l="1"/>
  <c r="W185" i="8"/>
  <c r="X185" i="8"/>
  <c r="X158" i="8" s="1"/>
  <c r="Y185" i="8"/>
  <c r="Y158" i="8" s="1"/>
  <c r="Z185" i="8"/>
  <c r="V183" i="8"/>
  <c r="W183" i="8"/>
  <c r="X183" i="8"/>
  <c r="X159" i="8" s="1"/>
  <c r="Y183" i="8"/>
  <c r="Y159" i="8" s="1"/>
  <c r="Z183" i="8"/>
  <c r="AA25" i="8"/>
  <c r="AA24" i="8"/>
  <c r="X524" i="8"/>
  <c r="U186" i="8" l="1"/>
  <c r="AA186" i="8" s="1"/>
  <c r="AA207" i="8"/>
  <c r="AA206" i="8"/>
  <c r="AA205" i="8"/>
  <c r="AA200" i="8"/>
  <c r="AA193" i="8"/>
  <c r="AA213" i="8"/>
  <c r="AA214" i="8"/>
  <c r="AA212" i="8"/>
  <c r="AA561" i="8"/>
  <c r="AA583" i="8" l="1"/>
  <c r="AA546" i="8"/>
  <c r="AA132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39" i="8"/>
  <c r="AA48" i="8"/>
  <c r="Y30" i="8"/>
  <c r="Z30" i="8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3" i="8"/>
  <c r="Z31" i="8"/>
  <c r="Z28" i="8"/>
  <c r="AA127" i="8"/>
  <c r="AA124" i="8"/>
  <c r="AA125" i="8"/>
  <c r="AA123" i="8"/>
  <c r="Z131" i="8"/>
  <c r="AA197" i="8"/>
  <c r="AA211" i="8"/>
  <c r="AA204" i="8"/>
  <c r="AA503" i="8"/>
  <c r="AA497" i="8"/>
  <c r="AA494" i="8"/>
  <c r="AA540" i="8"/>
  <c r="AA539" i="8"/>
  <c r="AA537" i="8"/>
  <c r="AA534" i="8"/>
  <c r="AA531" i="8"/>
  <c r="AA528" i="8"/>
  <c r="Z525" i="8"/>
  <c r="Z521" i="8" s="1"/>
  <c r="Z524" i="8"/>
  <c r="AA505" i="8"/>
  <c r="AA504" i="8"/>
  <c r="AA502" i="8"/>
  <c r="AA501" i="8"/>
  <c r="AA500" i="8"/>
  <c r="AA499" i="8"/>
  <c r="AA498" i="8"/>
  <c r="AA496" i="8"/>
  <c r="AA495" i="8"/>
  <c r="AA490" i="8"/>
  <c r="AA489" i="8"/>
  <c r="Z493" i="8"/>
  <c r="Z159" i="8" s="1"/>
  <c r="Z492" i="8"/>
  <c r="Y165" i="8"/>
  <c r="Z166" i="8"/>
  <c r="Z167" i="8"/>
  <c r="AA177" i="8"/>
  <c r="AA179" i="8"/>
  <c r="AA199" i="8"/>
  <c r="AA198" i="8"/>
  <c r="AA192" i="8"/>
  <c r="AA191" i="8"/>
  <c r="Z182" i="8"/>
  <c r="Z181" i="8"/>
  <c r="AA216" i="8"/>
  <c r="AA220" i="8"/>
  <c r="AA219" i="8"/>
  <c r="Z215" i="8"/>
  <c r="AA562" i="8"/>
  <c r="AA559" i="8"/>
  <c r="AA560" i="8"/>
  <c r="AA557" i="8"/>
  <c r="AA552" i="8"/>
  <c r="AA549" i="8"/>
  <c r="AA555" i="8"/>
  <c r="Z554" i="8"/>
  <c r="Z553" i="8"/>
  <c r="Z551" i="8"/>
  <c r="Z550" i="8"/>
  <c r="Z548" i="8"/>
  <c r="Z547" i="8"/>
  <c r="Z545" i="8"/>
  <c r="Z544" i="8"/>
  <c r="Z543" i="8"/>
  <c r="Z522" i="8" s="1"/>
  <c r="U554" i="8"/>
  <c r="U551" i="8"/>
  <c r="U548" i="8"/>
  <c r="U545" i="8"/>
  <c r="Z165" i="8" l="1"/>
  <c r="Z158" i="8"/>
  <c r="Z29" i="8"/>
  <c r="U558" i="8"/>
  <c r="AA558" i="8" s="1"/>
  <c r="Z180" i="8"/>
  <c r="Z157" i="8" s="1"/>
  <c r="Z542" i="8"/>
  <c r="AA578" i="8"/>
  <c r="AA576" i="8"/>
  <c r="AA573" i="8"/>
  <c r="AA575" i="8"/>
  <c r="Z564" i="8"/>
  <c r="AA566" i="8"/>
  <c r="AA568" i="8"/>
  <c r="AA570" i="8"/>
  <c r="AA572" i="8"/>
  <c r="Z563" i="8"/>
  <c r="AA588" i="8"/>
  <c r="AA589" i="8"/>
  <c r="AA590" i="8"/>
  <c r="AA587" i="8"/>
  <c r="Z581" i="8"/>
  <c r="Z582" i="8"/>
  <c r="AA137" i="8"/>
  <c r="U542" i="8" l="1"/>
  <c r="Z520" i="8"/>
  <c r="AA133" i="8"/>
  <c r="AA210" i="8"/>
  <c r="AA203" i="8"/>
  <c r="AA196" i="8"/>
  <c r="Z15" i="8" l="1"/>
  <c r="X525" i="8"/>
  <c r="U524" i="8"/>
  <c r="W524" i="8"/>
  <c r="Y524" i="8"/>
  <c r="U525" i="8"/>
  <c r="V525" i="8"/>
  <c r="W525" i="8"/>
  <c r="Y525" i="8"/>
  <c r="T525" i="8"/>
  <c r="AA525" i="8" l="1"/>
  <c r="T64" i="8" l="1"/>
  <c r="AA64" i="8" s="1"/>
  <c r="U85" i="8" l="1"/>
  <c r="U36" i="8" s="1"/>
  <c r="AA142" i="8"/>
  <c r="AA141" i="8"/>
  <c r="T104" i="8" l="1"/>
  <c r="AA104" i="8" s="1"/>
  <c r="T43" i="8"/>
  <c r="T160" i="8" l="1"/>
  <c r="T224" i="8" l="1"/>
  <c r="T163" i="8" l="1"/>
  <c r="X131" i="8" l="1"/>
  <c r="T24" i="8"/>
  <c r="T161" i="8" l="1"/>
  <c r="T25" i="8" l="1"/>
  <c r="T222" i="8" l="1"/>
  <c r="AA222" i="8" s="1"/>
  <c r="T102" i="8" l="1"/>
  <c r="AA102" i="8" s="1"/>
  <c r="T217" i="8"/>
  <c r="AA217" i="8" s="1"/>
  <c r="T218" i="8"/>
  <c r="AA218" i="8" s="1"/>
  <c r="T42" i="8"/>
  <c r="T120" i="8"/>
  <c r="AA120" i="8" s="1"/>
  <c r="T117" i="8"/>
  <c r="AA117" i="8" s="1"/>
  <c r="T571" i="8"/>
  <c r="AA571" i="8" s="1"/>
  <c r="T536" i="8"/>
  <c r="AA536" i="8" s="1"/>
  <c r="T174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33" i="8"/>
  <c r="AA533" i="8" s="1"/>
  <c r="T61" i="8"/>
  <c r="AA61" i="8" s="1"/>
  <c r="T565" i="8"/>
  <c r="AA565" i="8" s="1"/>
  <c r="T527" i="8"/>
  <c r="AA527" i="8" s="1"/>
  <c r="T109" i="8"/>
  <c r="AA109" i="8" s="1"/>
  <c r="T86" i="8"/>
  <c r="AA86" i="8" s="1"/>
  <c r="T68" i="8"/>
  <c r="AA68" i="8" s="1"/>
  <c r="AA105" i="8" l="1"/>
  <c r="T225" i="8" l="1"/>
  <c r="AA225" i="8" s="1"/>
  <c r="AA597" i="8" l="1"/>
  <c r="U28" i="8" l="1"/>
  <c r="V28" i="8"/>
  <c r="X28" i="8"/>
  <c r="Y28" i="8"/>
  <c r="T28" i="8"/>
  <c r="U27" i="8"/>
  <c r="V27" i="8"/>
  <c r="T27" i="8"/>
  <c r="U167" i="8" l="1"/>
  <c r="V167" i="8"/>
  <c r="W167" i="8"/>
  <c r="X167" i="8"/>
  <c r="Y167" i="8"/>
  <c r="T167" i="8"/>
  <c r="AA167" i="8" s="1"/>
  <c r="U491" i="8"/>
  <c r="V491" i="8"/>
  <c r="T491" i="8"/>
  <c r="V493" i="8"/>
  <c r="T493" i="8"/>
  <c r="V492" i="8"/>
  <c r="V165" i="8" s="1"/>
  <c r="T492" i="8"/>
  <c r="U31" i="8"/>
  <c r="V31" i="8"/>
  <c r="W31" i="8"/>
  <c r="X31" i="8"/>
  <c r="T31" i="8"/>
  <c r="U30" i="8"/>
  <c r="U26" i="8" s="1"/>
  <c r="V30" i="8"/>
  <c r="V26" i="8" s="1"/>
  <c r="W26" i="8"/>
  <c r="AA26" i="8" s="1"/>
  <c r="X30" i="8"/>
  <c r="X26" i="8" s="1"/>
  <c r="T30" i="8"/>
  <c r="T26" i="8" s="1"/>
  <c r="AA30" i="8" l="1"/>
  <c r="AA491" i="8"/>
  <c r="AA492" i="8"/>
  <c r="AA493" i="8"/>
  <c r="AA165" i="8"/>
  <c r="Y85" i="8" l="1"/>
  <c r="Y36" i="8" s="1"/>
  <c r="T85" i="8"/>
  <c r="X85" i="8"/>
  <c r="X36" i="8" s="1"/>
  <c r="W85" i="8"/>
  <c r="W36" i="8" s="1"/>
  <c r="U581" i="8"/>
  <c r="V581" i="8"/>
  <c r="Y581" i="8"/>
  <c r="T581" i="8"/>
  <c r="AA581" i="8" l="1"/>
  <c r="T36" i="8"/>
  <c r="V85" i="8"/>
  <c r="V36" i="8" s="1"/>
  <c r="T208" i="8"/>
  <c r="T201" i="8"/>
  <c r="T194" i="8"/>
  <c r="T187" i="8"/>
  <c r="AA187" i="8" s="1"/>
  <c r="U82" i="8"/>
  <c r="AA36" i="8" l="1"/>
  <c r="AA208" i="8"/>
  <c r="AA85" i="8"/>
  <c r="AA194" i="8"/>
  <c r="AA201" i="8"/>
  <c r="AA175" i="8"/>
  <c r="AA173" i="8"/>
  <c r="AA171" i="8"/>
  <c r="AA169" i="8"/>
  <c r="T183" i="8"/>
  <c r="T110" i="8"/>
  <c r="T57" i="8"/>
  <c r="AA57" i="8" s="1"/>
  <c r="AA174" i="8"/>
  <c r="T567" i="8"/>
  <c r="AA567" i="8" s="1"/>
  <c r="T569" i="8"/>
  <c r="AA569" i="8" s="1"/>
  <c r="T530" i="8"/>
  <c r="AA530" i="8" s="1"/>
  <c r="T488" i="8"/>
  <c r="AA488" i="8" s="1"/>
  <c r="T113" i="8"/>
  <c r="AA113" i="8" s="1"/>
  <c r="AA70" i="8"/>
  <c r="AA42" i="8"/>
  <c r="T131" i="8"/>
  <c r="T170" i="8"/>
  <c r="AA170" i="8" s="1"/>
  <c r="AA591" i="8"/>
  <c r="Y582" i="8"/>
  <c r="X582" i="8"/>
  <c r="W582" i="8"/>
  <c r="V582" i="8"/>
  <c r="U582" i="8"/>
  <c r="T582" i="8"/>
  <c r="AA582" i="8"/>
  <c r="AA577" i="8"/>
  <c r="Y564" i="8"/>
  <c r="X564" i="8"/>
  <c r="W564" i="8"/>
  <c r="V564" i="8"/>
  <c r="V523" i="8" s="1"/>
  <c r="U564" i="8"/>
  <c r="U523" i="8" s="1"/>
  <c r="Y563" i="8"/>
  <c r="X563" i="8"/>
  <c r="W563" i="8"/>
  <c r="V563" i="8"/>
  <c r="U563" i="8"/>
  <c r="U520" i="8" s="1"/>
  <c r="AA556" i="8"/>
  <c r="T554" i="8"/>
  <c r="Y553" i="8"/>
  <c r="W553" i="8"/>
  <c r="V553" i="8"/>
  <c r="U553" i="8"/>
  <c r="T553" i="8"/>
  <c r="T551" i="8"/>
  <c r="Y550" i="8"/>
  <c r="W550" i="8"/>
  <c r="V550" i="8"/>
  <c r="U550" i="8"/>
  <c r="T550" i="8"/>
  <c r="T548" i="8"/>
  <c r="Y547" i="8"/>
  <c r="W547" i="8"/>
  <c r="V547" i="8"/>
  <c r="U547" i="8"/>
  <c r="T547" i="8"/>
  <c r="T545" i="8"/>
  <c r="Y544" i="8"/>
  <c r="X544" i="8"/>
  <c r="W544" i="8"/>
  <c r="V544" i="8"/>
  <c r="U544" i="8"/>
  <c r="T544" i="8"/>
  <c r="Y543" i="8"/>
  <c r="Y522" i="8" s="1"/>
  <c r="X543" i="8"/>
  <c r="X522" i="8" s="1"/>
  <c r="W543" i="8"/>
  <c r="W522" i="8" s="1"/>
  <c r="V543" i="8"/>
  <c r="V522" i="8" s="1"/>
  <c r="U522" i="8"/>
  <c r="T543" i="8"/>
  <c r="Y521" i="8"/>
  <c r="X521" i="8"/>
  <c r="W521" i="8"/>
  <c r="V521" i="8"/>
  <c r="U521" i="8"/>
  <c r="AA487" i="8"/>
  <c r="AA486" i="8"/>
  <c r="AA485" i="8"/>
  <c r="AA484" i="8"/>
  <c r="AA483" i="8"/>
  <c r="T482" i="8"/>
  <c r="AA482" i="8" s="1"/>
  <c r="AA481" i="8"/>
  <c r="AA480" i="8"/>
  <c r="AA479" i="8"/>
  <c r="AA478" i="8"/>
  <c r="AA477" i="8"/>
  <c r="T476" i="8"/>
  <c r="AA476" i="8" s="1"/>
  <c r="AA475" i="8"/>
  <c r="AA474" i="8"/>
  <c r="AA473" i="8"/>
  <c r="AA472" i="8"/>
  <c r="AA471" i="8"/>
  <c r="T470" i="8"/>
  <c r="AA470" i="8" s="1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T441" i="8"/>
  <c r="AA441" i="8" s="1"/>
  <c r="AA440" i="8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T413" i="8"/>
  <c r="T412" i="8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8" i="8"/>
  <c r="AA387" i="8"/>
  <c r="AA386" i="8"/>
  <c r="T385" i="8"/>
  <c r="AA385" i="8" s="1"/>
  <c r="AA384" i="8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T330" i="8"/>
  <c r="AA330" i="8" s="1"/>
  <c r="AA329" i="8"/>
  <c r="AA328" i="8"/>
  <c r="T319" i="8"/>
  <c r="T317" i="8"/>
  <c r="AA315" i="8"/>
  <c r="AA314" i="8"/>
  <c r="AA313" i="8"/>
  <c r="AA312" i="8"/>
  <c r="T311" i="8"/>
  <c r="AA311" i="8" s="1"/>
  <c r="AA310" i="8"/>
  <c r="AA309" i="8"/>
  <c r="AA308" i="8"/>
  <c r="AA307" i="8"/>
  <c r="T306" i="8"/>
  <c r="AA306" i="8" s="1"/>
  <c r="AA305" i="8"/>
  <c r="AA304" i="8"/>
  <c r="AA303" i="8"/>
  <c r="AA302" i="8"/>
  <c r="T301" i="8"/>
  <c r="AA300" i="8"/>
  <c r="AA299" i="8"/>
  <c r="AA298" i="8"/>
  <c r="AA297" i="8"/>
  <c r="T296" i="8"/>
  <c r="AA296" i="8" s="1"/>
  <c r="AA295" i="8"/>
  <c r="AA294" i="8"/>
  <c r="AA293" i="8"/>
  <c r="AA292" i="8"/>
  <c r="T291" i="8"/>
  <c r="AA291" i="8" s="1"/>
  <c r="AA290" i="8"/>
  <c r="AA289" i="8"/>
  <c r="AA288" i="8"/>
  <c r="AA287" i="8"/>
  <c r="AA286" i="8"/>
  <c r="T285" i="8"/>
  <c r="AA285" i="8" s="1"/>
  <c r="AA284" i="8"/>
  <c r="AA283" i="8"/>
  <c r="T276" i="8"/>
  <c r="AA276" i="8" s="1"/>
  <c r="T274" i="8"/>
  <c r="AA274" i="8" s="1"/>
  <c r="AA272" i="8"/>
  <c r="AA271" i="8"/>
  <c r="AA270" i="8"/>
  <c r="AA269" i="8"/>
  <c r="AA268" i="8"/>
  <c r="T267" i="8"/>
  <c r="AA267" i="8" s="1"/>
  <c r="AA266" i="8"/>
  <c r="AA265" i="8"/>
  <c r="AA264" i="8"/>
  <c r="AA263" i="8"/>
  <c r="AA262" i="8"/>
  <c r="AA261" i="8"/>
  <c r="T260" i="8"/>
  <c r="AA260" i="8" s="1"/>
  <c r="AA259" i="8"/>
  <c r="AA258" i="8"/>
  <c r="AA257" i="8"/>
  <c r="AA256" i="8"/>
  <c r="AA255" i="8"/>
  <c r="T254" i="8"/>
  <c r="AA254" i="8" s="1"/>
  <c r="AA253" i="8"/>
  <c r="AA252" i="8"/>
  <c r="AA251" i="8"/>
  <c r="AA250" i="8"/>
  <c r="AA249" i="8"/>
  <c r="T248" i="8"/>
  <c r="AA247" i="8"/>
  <c r="AA246" i="8"/>
  <c r="AA245" i="8"/>
  <c r="AA244" i="8"/>
  <c r="T243" i="8"/>
  <c r="AA243" i="8" s="1"/>
  <c r="AA242" i="8"/>
  <c r="AD241" i="8"/>
  <c r="AA241" i="8"/>
  <c r="AD240" i="8"/>
  <c r="AA240" i="8"/>
  <c r="AD239" i="8"/>
  <c r="AA239" i="8"/>
  <c r="AD238" i="8"/>
  <c r="T238" i="8"/>
  <c r="AA238" i="8" s="1"/>
  <c r="T227" i="8"/>
  <c r="AA227" i="8" s="1"/>
  <c r="Y215" i="8"/>
  <c r="Y180" i="8" s="1"/>
  <c r="X215" i="8"/>
  <c r="X180" i="8" s="1"/>
  <c r="W215" i="8"/>
  <c r="W180" i="8" s="1"/>
  <c r="V215" i="8"/>
  <c r="V180" i="8" s="1"/>
  <c r="U215" i="8"/>
  <c r="V158" i="8"/>
  <c r="T185" i="8"/>
  <c r="T184" i="8"/>
  <c r="Y182" i="8"/>
  <c r="X182" i="8"/>
  <c r="W182" i="8"/>
  <c r="V182" i="8"/>
  <c r="U182" i="8"/>
  <c r="Y181" i="8"/>
  <c r="X181" i="8"/>
  <c r="W181" i="8"/>
  <c r="V181" i="8"/>
  <c r="U181" i="8"/>
  <c r="AA172" i="8"/>
  <c r="AA168" i="8"/>
  <c r="Y166" i="8"/>
  <c r="X166" i="8"/>
  <c r="W166" i="8"/>
  <c r="V166" i="8"/>
  <c r="U166" i="8"/>
  <c r="Y131" i="8"/>
  <c r="W131" i="8"/>
  <c r="V131" i="8"/>
  <c r="T128" i="8"/>
  <c r="AA128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7" i="8" l="1"/>
  <c r="V29" i="8"/>
  <c r="AA248" i="8"/>
  <c r="AA229" i="8"/>
  <c r="X157" i="8"/>
  <c r="Y29" i="8"/>
  <c r="Y157" i="8"/>
  <c r="W29" i="8"/>
  <c r="X29" i="8"/>
  <c r="U29" i="8"/>
  <c r="T273" i="8"/>
  <c r="AA273" i="8" s="1"/>
  <c r="AA33" i="8"/>
  <c r="AA563" i="8"/>
  <c r="AA545" i="8"/>
  <c r="AA183" i="8"/>
  <c r="AA28" i="8"/>
  <c r="AA83" i="8"/>
  <c r="T158" i="8"/>
  <c r="AA158" i="8" s="1"/>
  <c r="AA185" i="8"/>
  <c r="AA548" i="8"/>
  <c r="AA131" i="8"/>
  <c r="AA551" i="8"/>
  <c r="U180" i="8"/>
  <c r="U157" i="8" s="1"/>
  <c r="AA554" i="8"/>
  <c r="AA224" i="8"/>
  <c r="T108" i="8"/>
  <c r="AA108" i="8" s="1"/>
  <c r="AA110" i="8"/>
  <c r="T524" i="8"/>
  <c r="AA524" i="8" s="1"/>
  <c r="T522" i="8"/>
  <c r="AA522" i="8" s="1"/>
  <c r="AA543" i="8"/>
  <c r="U159" i="8"/>
  <c r="T316" i="8"/>
  <c r="V159" i="8"/>
  <c r="T159" i="8"/>
  <c r="V157" i="8"/>
  <c r="T564" i="8"/>
  <c r="AA564" i="8" s="1"/>
  <c r="T541" i="8"/>
  <c r="X520" i="8"/>
  <c r="AA547" i="8"/>
  <c r="AA553" i="8"/>
  <c r="V541" i="8"/>
  <c r="Y541" i="8"/>
  <c r="AA544" i="8"/>
  <c r="AA550" i="8"/>
  <c r="X541" i="8"/>
  <c r="T563" i="8"/>
  <c r="W541" i="8"/>
  <c r="T66" i="8"/>
  <c r="AA66" i="8" s="1"/>
  <c r="T542" i="8"/>
  <c r="AA49" i="8"/>
  <c r="U541" i="8"/>
  <c r="T182" i="8"/>
  <c r="AA182" i="8" s="1"/>
  <c r="T107" i="8"/>
  <c r="AA107" i="8" s="1"/>
  <c r="AD242" i="8"/>
  <c r="AA301" i="8"/>
  <c r="T411" i="8"/>
  <c r="V542" i="8"/>
  <c r="V520" i="8" s="1"/>
  <c r="T166" i="8"/>
  <c r="AA166" i="8" s="1"/>
  <c r="T181" i="8"/>
  <c r="AA181" i="8" s="1"/>
  <c r="Y542" i="8"/>
  <c r="Y520" i="8" s="1"/>
  <c r="W542" i="8"/>
  <c r="W520" i="8" s="1"/>
  <c r="T82" i="8"/>
  <c r="AA82" i="8" s="1"/>
  <c r="T21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T226" i="8" l="1"/>
  <c r="X160" i="8"/>
  <c r="V160" i="8"/>
  <c r="Z160" i="8"/>
  <c r="AA160" i="8" s="1"/>
  <c r="V15" i="8"/>
  <c r="U160" i="8"/>
  <c r="Y160" i="8"/>
  <c r="AA159" i="8"/>
  <c r="U15" i="8"/>
  <c r="X15" i="8"/>
  <c r="Y15" i="8"/>
  <c r="W15" i="8"/>
  <c r="AA542" i="8"/>
  <c r="T180" i="8"/>
  <c r="AA180" i="8" s="1"/>
  <c r="AA215" i="8"/>
  <c r="T29" i="8"/>
  <c r="T523" i="8"/>
  <c r="AA523" i="8" s="1"/>
  <c r="AA541" i="8"/>
  <c r="T520" i="8"/>
  <c r="AA520" i="8" s="1"/>
  <c r="T521" i="8"/>
  <c r="AA521" i="8" s="1"/>
  <c r="AA39" i="8"/>
  <c r="AA18" i="8"/>
  <c r="AA21" i="8"/>
  <c r="AA16" i="8"/>
  <c r="AA226" i="8" l="1"/>
  <c r="T223" i="8"/>
  <c r="T157" i="8" s="1"/>
  <c r="AA29" i="8"/>
  <c r="AA223" i="8" l="1"/>
  <c r="AA157" i="8"/>
  <c r="T15" i="8" l="1"/>
  <c r="AA15" i="8" s="1"/>
</calcChain>
</file>

<file path=xl/sharedStrings.xml><?xml version="1.0" encoding="utf-8"?>
<sst xmlns="http://schemas.openxmlformats.org/spreadsheetml/2006/main" count="6115" uniqueCount="378">
  <si>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</si>
  <si>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</si>
  <si>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</si>
  <si>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</si>
  <si>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</si>
  <si>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</si>
  <si>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</si>
  <si>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</si>
  <si>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</si>
  <si>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</si>
  <si>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</si>
  <si>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</si>
  <si>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</si>
  <si>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</si>
  <si>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</si>
  <si>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</si>
  <si>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</si>
  <si>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</si>
  <si>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</si>
  <si>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</si>
  <si>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</si>
  <si>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</si>
  <si>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</si>
  <si>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</si>
  <si>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</si>
  <si>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</si>
  <si>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</si>
  <si>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</si>
  <si>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</si>
  <si>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</si>
  <si>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</si>
  <si>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</si>
  <si>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</si>
  <si>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</si>
  <si>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</si>
  <si>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</si>
  <si>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</si>
  <si>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</si>
  <si>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</si>
  <si>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</si>
  <si>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</si>
  <si>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</si>
  <si>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</si>
  <si>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</si>
  <si>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</si>
  <si>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</si>
  <si>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</si>
  <si>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</si>
  <si>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</si>
  <si>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</si>
  <si>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</si>
  <si>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</si>
  <si>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</si>
  <si>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</si>
  <si>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</si>
  <si>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</si>
  <si>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</si>
  <si>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</si>
  <si>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</si>
  <si>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</si>
  <si>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</si>
  <si>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</si>
  <si>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</si>
  <si>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</si>
  <si>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</si>
  <si>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</si>
  <si>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</si>
  <si>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</si>
  <si>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</si>
  <si>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</si>
  <si>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</si>
  <si>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</si>
  <si>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</si>
  <si>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</si>
  <si>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</si>
  <si>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</si>
  <si>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</si>
  <si>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</si>
  <si>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</si>
  <si>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</si>
  <si>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</si>
  <si>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</si>
  <si>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</si>
  <si>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</si>
  <si>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</si>
  <si>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</si>
  <si>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</si>
  <si>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</si>
  <si>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</si>
  <si>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</si>
  <si>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</si>
  <si>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</si>
  <si>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</si>
  <si>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</si>
  <si>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</si>
  <si>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</si>
  <si>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</si>
  <si>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</si>
  <si>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</si>
  <si>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</si>
  <si>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</si>
  <si>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</si>
  <si>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</si>
  <si>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</si>
  <si>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</si>
  <si>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</si>
  <si>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</si>
  <si>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</si>
  <si>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</si>
  <si>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</si>
  <si>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</si>
  <si>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</si>
  <si>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</si>
  <si>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</si>
  <si>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</si>
  <si>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</si>
  <si>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</si>
  <si>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</si>
  <si>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</si>
  <si>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</si>
  <si>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</si>
  <si>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</si>
  <si>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</si>
  <si>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</si>
  <si>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</si>
  <si>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</si>
  <si>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</si>
  <si>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</si>
  <si>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</si>
  <si>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</si>
  <si>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</si>
  <si>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</si>
  <si>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</si>
  <si>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</si>
  <si>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</si>
  <si>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</si>
  <si>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</si>
  <si>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</si>
  <si>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</si>
  <si>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</si>
  <si>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</si>
  <si>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</si>
  <si>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</si>
  <si>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</si>
  <si>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</si>
  <si>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</si>
  <si>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</si>
  <si>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</si>
  <si>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</si>
  <si>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</si>
  <si>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</si>
  <si>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</si>
  <si>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</si>
  <si>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</si>
  <si>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</si>
  <si>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</si>
  <si>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</si>
  <si>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</si>
  <si>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</si>
  <si>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</si>
  <si>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</si>
  <si>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</si>
  <si>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</si>
  <si>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</si>
  <si>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</si>
  <si>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</si>
  <si>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</si>
  <si>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</si>
  <si>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</si>
  <si>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</si>
  <si>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</si>
  <si>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</si>
  <si>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</si>
  <si>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</si>
  <si>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</si>
  <si>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</si>
  <si>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</si>
  <si>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</si>
  <si>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</si>
  <si>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</si>
  <si>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</si>
  <si>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</si>
  <si>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</si>
  <si>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</si>
  <si>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</si>
  <si>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</si>
  <si>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</si>
  <si>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</si>
  <si>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</si>
  <si>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</si>
  <si>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</si>
  <si>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</si>
  <si>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</si>
  <si>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</si>
  <si>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</si>
  <si>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</si>
  <si>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</si>
  <si>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</si>
  <si>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</si>
  <si>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</si>
  <si>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</si>
  <si>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</si>
  <si>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</si>
  <si>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</si>
  <si>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</si>
  <si>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</si>
  <si>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</si>
  <si>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</si>
  <si>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</si>
  <si>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</si>
  <si>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</si>
  <si>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</si>
  <si>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</si>
  <si>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</si>
  <si>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</si>
  <si>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</si>
  <si>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</si>
  <si>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</si>
  <si>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</si>
  <si>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</si>
  <si>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</si>
  <si>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</si>
  <si>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</si>
  <si>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</si>
  <si>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</si>
  <si>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</si>
  <si>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</si>
  <si>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</si>
  <si>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</si>
  <si>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</si>
  <si>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</si>
  <si>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</si>
  <si>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</si>
  <si>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</si>
  <si>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</si>
  <si>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</si>
  <si>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</si>
  <si>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</si>
  <si>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</si>
  <si>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</si>
  <si>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</si>
  <si>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</si>
  <si>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</si>
  <si>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</si>
  <si>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</si>
  <si>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</si>
  <si>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</si>
  <si>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</si>
  <si>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</si>
  <si>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</si>
  <si>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</si>
  <si>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</si>
  <si>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</si>
  <si>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</si>
  <si>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</si>
  <si>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</si>
  <si>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</si>
  <si>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</si>
  <si>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</si>
  <si>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</si>
  <si>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</si>
  <si>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</si>
  <si>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</si>
  <si>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</si>
  <si>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</si>
  <si>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</si>
  <si>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</si>
  <si>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</si>
  <si>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</si>
  <si>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</si>
  <si>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</si>
  <si>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</si>
  <si>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</si>
  <si>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</si>
  <si>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</si>
  <si>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</si>
  <si>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</si>
  <si>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</si>
  <si>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</si>
  <si>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</si>
  <si>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</si>
  <si>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</si>
  <si>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</si>
  <si>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</si>
  <si>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</si>
  <si>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</si>
  <si>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</si>
  <si>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</si>
  <si>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</si>
  <si>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</si>
  <si>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</si>
  <si>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</si>
  <si>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</si>
  <si>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</si>
  <si>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</si>
  <si>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</si>
  <si>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</si>
  <si>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</si>
  <si>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</si>
  <si>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</si>
  <si>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</si>
  <si>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</si>
  <si>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</si>
  <si>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</si>
  <si>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</si>
  <si>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</si>
  <si>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</si>
  <si>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</si>
  <si>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</si>
  <si>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</si>
  <si>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</si>
  <si>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</si>
  <si>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</si>
  <si>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</si>
  <si>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</si>
  <si>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</si>
  <si>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</si>
  <si>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</si>
  <si>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</si>
  <si>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</si>
  <si>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</si>
  <si>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</si>
  <si>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</si>
  <si>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</si>
  <si>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</si>
  <si>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</si>
  <si>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</si>
  <si>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</si>
  <si>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</si>
  <si>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</si>
  <si>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</si>
  <si>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</si>
  <si>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</si>
  <si>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</si>
  <si>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</si>
  <si>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</si>
  <si>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</si>
  <si>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</si>
  <si>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</si>
  <si>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</si>
  <si>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</si>
  <si>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</si>
  <si>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</si>
  <si>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</si>
  <si>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</si>
  <si>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</si>
  <si>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</si>
  <si>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</si>
  <si>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</si>
  <si>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</si>
  <si>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</si>
  <si>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</si>
  <si>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</si>
  <si>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</si>
  <si>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</si>
  <si>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</si>
  <si>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</si>
  <si>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</si>
  <si>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</si>
  <si>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</si>
  <si>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</si>
  <si>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</si>
  <si>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Д.А. Афонин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</si>
  <si>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</si>
  <si>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</si>
  <si>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</si>
  <si>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</si>
  <si>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</si>
  <si>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</si>
  <si>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</si>
  <si>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</si>
  <si>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</si>
  <si>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</si>
  <si>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</si>
  <si>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</si>
  <si>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t>Приложение  1
к постановлению Администрации города Твери
от «___»  _________2021 № ____</t>
  </si>
  <si>
    <t>34</t>
  </si>
  <si>
    <t>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</si>
</sst>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0"/>
  <sheetViews>
    <sheetView tabSelected="1" view="pageBreakPreview" topLeftCell="A126" zoomScale="80" zoomScaleNormal="90" zoomScaleSheetLayoutView="80" zoomScalePageLayoutView="62" workbookViewId="0">
      <selection activeCell="J135" sqref="J135"/>
    </sheetView>
  </sheetViews>
  <sheetFormatPr defaultColWidth="8.5546875" defaultRowHeight="15.6" x14ac:dyDescent="0.3"/>
  <cols>
    <col min="1" max="17" width="2.6640625" style="8" customWidth="1"/>
    <col min="18" max="18" width="66.88671875" style="7" customWidth="1"/>
    <col min="19" max="19" width="10.109375" style="7" customWidth="1"/>
    <col min="20" max="21" width="10.5546875" style="7" customWidth="1"/>
    <col min="22" max="22" width="10.5546875" style="8" customWidth="1"/>
    <col min="23" max="26" width="10.5546875" style="7" customWidth="1"/>
    <col min="27" max="27" width="12" style="8" customWidth="1"/>
    <col min="28" max="28" width="6.6640625" style="7" customWidth="1"/>
    <col min="29" max="29" width="12.88671875" style="103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5" ht="49.2" customHeight="1" x14ac:dyDescent="0.3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02"/>
      <c r="AD1" s="102"/>
      <c r="AE1" s="102"/>
    </row>
    <row r="2" spans="1:35" x14ac:dyDescent="0.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02"/>
      <c r="AD2" s="102"/>
      <c r="AE2" s="102"/>
    </row>
    <row r="3" spans="1:35" ht="13.8" customHeight="1" x14ac:dyDescent="0.3">
      <c r="A3" s="178" t="s">
        <v>319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02"/>
      <c r="AD3" s="102"/>
      <c r="AE3" s="102"/>
    </row>
    <row r="4" spans="1:35" x14ac:dyDescent="0.3">
      <c r="A4" s="178" t="s">
        <v>26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9"/>
    </row>
    <row r="5" spans="1:35" x14ac:dyDescent="0.3">
      <c r="A5" s="178" t="s">
        <v>48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9"/>
    </row>
    <row r="6" spans="1:35" x14ac:dyDescent="0.3">
      <c r="A6" s="178" t="s">
        <v>289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</row>
    <row r="7" spans="1:3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5"/>
      <c r="S7" s="145"/>
      <c r="T7" s="145"/>
      <c r="U7" s="145"/>
      <c r="V7" s="11"/>
      <c r="W7" s="145"/>
      <c r="X7" s="172"/>
      <c r="Y7" s="172"/>
      <c r="Z7" s="172"/>
      <c r="AA7" s="172"/>
      <c r="AB7" s="172"/>
    </row>
    <row r="8" spans="1:35" ht="17.399999999999999" x14ac:dyDescent="0.3">
      <c r="A8" s="173" t="s">
        <v>12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9"/>
      <c r="AD8" s="12"/>
    </row>
    <row r="9" spans="1:35" ht="17.399999999999999" x14ac:dyDescent="0.3">
      <c r="A9" s="173" t="s">
        <v>288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</row>
    <row r="10" spans="1:35" x14ac:dyDescent="0.3">
      <c r="A10" s="174" t="s">
        <v>57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</row>
    <row r="11" spans="1:35" ht="9" customHeight="1" x14ac:dyDescent="0.3">
      <c r="V11" s="13"/>
    </row>
    <row r="12" spans="1:35" s="97" customFormat="1" ht="40.200000000000003" customHeight="1" x14ac:dyDescent="0.3">
      <c r="A12" s="175" t="s">
        <v>16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6" t="s">
        <v>13</v>
      </c>
      <c r="S12" s="176" t="s">
        <v>33</v>
      </c>
      <c r="T12" s="176" t="s">
        <v>14</v>
      </c>
      <c r="U12" s="176"/>
      <c r="V12" s="176"/>
      <c r="W12" s="176"/>
      <c r="X12" s="176"/>
      <c r="Y12" s="176"/>
      <c r="Z12" s="176"/>
      <c r="AA12" s="177" t="s">
        <v>10</v>
      </c>
      <c r="AB12" s="177"/>
      <c r="AC12" s="9"/>
      <c r="AD12" s="9"/>
      <c r="AE12" s="9"/>
      <c r="AF12" s="9"/>
      <c r="AG12" s="9"/>
      <c r="AH12" s="9"/>
    </row>
    <row r="13" spans="1:35" s="97" customFormat="1" ht="51.6" customHeight="1" x14ac:dyDescent="0.3">
      <c r="A13" s="175" t="s">
        <v>29</v>
      </c>
      <c r="B13" s="175"/>
      <c r="C13" s="175"/>
      <c r="D13" s="175" t="s">
        <v>27</v>
      </c>
      <c r="E13" s="175"/>
      <c r="F13" s="175" t="s">
        <v>28</v>
      </c>
      <c r="G13" s="175"/>
      <c r="H13" s="175" t="s">
        <v>17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6"/>
      <c r="S13" s="176"/>
      <c r="T13" s="146">
        <v>2018</v>
      </c>
      <c r="U13" s="146">
        <v>2019</v>
      </c>
      <c r="V13" s="146">
        <v>2020</v>
      </c>
      <c r="W13" s="146">
        <v>2021</v>
      </c>
      <c r="X13" s="146">
        <v>2022</v>
      </c>
      <c r="Y13" s="146">
        <v>2023</v>
      </c>
      <c r="Z13" s="146">
        <v>2024</v>
      </c>
      <c r="AA13" s="146" t="s">
        <v>11</v>
      </c>
      <c r="AB13" s="146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3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T29+T157+T520+T581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443269.7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2932646.2149999999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2" hidden="1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2" hidden="1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2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7"/>
      <c r="AC23" s="93"/>
      <c r="AD23" s="38"/>
      <c r="AE23" s="38"/>
    </row>
    <row r="24" spans="1:36" ht="46.8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(416.9+89.6+58.4+46.2+70)/2557*100</f>
        <v>26.636683613609701</v>
      </c>
      <c r="X24" s="3">
        <f xml:space="preserve"> (416.9+89.6+58.4+46.2+70+56.7)/2557*100</f>
        <v>28.854125928822842</v>
      </c>
      <c r="Y24" s="3">
        <f xml:space="preserve"> (416.9+89.6+58.4+46.2+70+56.7+64.3)/2557*100</f>
        <v>31.368791552600705</v>
      </c>
      <c r="Z24" s="3">
        <f xml:space="preserve"> (416.9+89.6+58.4+46.2+70+56.7+64.3+64.3)/2557*100</f>
        <v>33.88345717637857</v>
      </c>
      <c r="AA24" s="6">
        <f>Z24</f>
        <v>33.88345717637857</v>
      </c>
      <c r="AB24" s="146">
        <v>2024</v>
      </c>
      <c r="AC24" s="33" t="s">
        <v>376</v>
      </c>
    </row>
    <row r="25" spans="1:36" ht="46.8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((842+61)+58+42+7+17+6)/2738*100</f>
        <v>37.728268809349892</v>
      </c>
      <c r="Y25" s="3">
        <f>((842+61)+58+42+7+17+6+10)/2738*100</f>
        <v>38.093498904309712</v>
      </c>
      <c r="Z25" s="3">
        <f>((842+61)+58+42+7+17+6+10+37)/2738*100</f>
        <v>39.444850255661066</v>
      </c>
      <c r="AA25" s="6">
        <f>Z25</f>
        <v>39.444850255661066</v>
      </c>
      <c r="AB25" s="146">
        <v>2024</v>
      </c>
      <c r="AC25" s="42">
        <v>39.6</v>
      </c>
      <c r="AD25" s="43"/>
      <c r="AE25" s="43"/>
      <c r="AF25" s="12"/>
    </row>
    <row r="26" spans="1:36" ht="46.8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0.1644350481559784</v>
      </c>
      <c r="X26" s="129">
        <f>X30/426.6</f>
        <v>0.13291139240506328</v>
      </c>
      <c r="Y26" s="129">
        <f>Y30/427.7</f>
        <v>0.15033902267944821</v>
      </c>
      <c r="Z26" s="129">
        <f>Z30/427.4</f>
        <v>0.15044454843238184</v>
      </c>
      <c r="AA26" s="143">
        <f>SUM(T26:Z26)</f>
        <v>1.0604008995567089</v>
      </c>
      <c r="AB26" s="146">
        <v>2024</v>
      </c>
      <c r="AC26" s="33" t="s">
        <v>377</v>
      </c>
    </row>
    <row r="27" spans="1:36" ht="31.2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6" t="s">
        <v>52</v>
      </c>
      <c r="T27" s="3">
        <f>T126</f>
        <v>2557</v>
      </c>
      <c r="U27" s="3">
        <f t="shared" ref="U27:Z27" si="6">U126</f>
        <v>2220.9</v>
      </c>
      <c r="V27" s="3">
        <f t="shared" si="6"/>
        <v>2165.9</v>
      </c>
      <c r="W27" s="3">
        <f>W126</f>
        <v>2147.5</v>
      </c>
      <c r="X27" s="3">
        <f t="shared" si="6"/>
        <v>2221</v>
      </c>
      <c r="Y27" s="3">
        <f t="shared" si="6"/>
        <v>2221</v>
      </c>
      <c r="Z27" s="3">
        <f t="shared" si="6"/>
        <v>2221</v>
      </c>
      <c r="AA27" s="5">
        <f>SUM(Y27)</f>
        <v>2221</v>
      </c>
      <c r="AB27" s="146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6.8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6" t="s">
        <v>50</v>
      </c>
      <c r="T28" s="44">
        <f>T123</f>
        <v>2400</v>
      </c>
      <c r="U28" s="44">
        <f t="shared" ref="U28:Y28" si="7">U123</f>
        <v>2400</v>
      </c>
      <c r="V28" s="44">
        <f t="shared" si="7"/>
        <v>4059</v>
      </c>
      <c r="W28" s="44">
        <f t="shared" si="7"/>
        <v>3100</v>
      </c>
      <c r="X28" s="44">
        <f t="shared" si="7"/>
        <v>3100</v>
      </c>
      <c r="Y28" s="44">
        <f t="shared" si="7"/>
        <v>3100</v>
      </c>
      <c r="Z28" s="44">
        <f t="shared" ref="Z28" si="8">Z123</f>
        <v>3100</v>
      </c>
      <c r="AA28" s="45">
        <f>SUM(T28:Z28)</f>
        <v>21259</v>
      </c>
      <c r="AB28" s="146">
        <v>2024</v>
      </c>
      <c r="AC28" s="33"/>
    </row>
    <row r="29" spans="1:36" ht="31.2" x14ac:dyDescent="0.3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1">
        <f>T39+T49+T55+T66+T82+T104+T107+T117+T120+T128+T131+T133+T141</f>
        <v>325992.60000000003</v>
      </c>
      <c r="U29" s="141">
        <f>U39+U49+U55+U66+U82+U104+U107+U117+U120+U128+U131+U133</f>
        <v>483865.9</v>
      </c>
      <c r="V29" s="141">
        <f>V39+V55+V66+V82+V104+V107+V117+V120+V128+V131+V133+V141</f>
        <v>417830.99999999994</v>
      </c>
      <c r="W29" s="141">
        <f>W39+W49+W55+W66+W82+W104+W107+W117+W120+W128+W131+W133+W141+W143</f>
        <v>378663.9</v>
      </c>
      <c r="X29" s="141">
        <f t="shared" ref="X29:Z29" si="9">X39+X49+X55+X66+X82+X104+X107+X117+X120+X128+X131+X133+X141+X143</f>
        <v>255860.1</v>
      </c>
      <c r="Y29" s="141">
        <f t="shared" si="9"/>
        <v>255860.1</v>
      </c>
      <c r="Z29" s="141">
        <f t="shared" si="9"/>
        <v>255860.1</v>
      </c>
      <c r="AA29" s="141">
        <f>SUM(T29:Z29)</f>
        <v>2373933.7000000002</v>
      </c>
      <c r="AB29" s="142">
        <v>2024</v>
      </c>
      <c r="AC29" s="111"/>
    </row>
    <row r="30" spans="1:36" ht="31.2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6" t="s">
        <v>52</v>
      </c>
      <c r="T30" s="4">
        <f>T45+T140</f>
        <v>89.6</v>
      </c>
      <c r="U30" s="4">
        <f>U45+U140</f>
        <v>58.4</v>
      </c>
      <c r="V30" s="3">
        <f>V45+V140</f>
        <v>46.2</v>
      </c>
      <c r="W30" s="4">
        <f>W45+W140</f>
        <v>70</v>
      </c>
      <c r="X30" s="4">
        <f>X45+X140</f>
        <v>56.7</v>
      </c>
      <c r="Y30" s="4">
        <f t="shared" ref="Y30:Z30" si="10">Y45+Y140</f>
        <v>64.3</v>
      </c>
      <c r="Z30" s="4">
        <f t="shared" si="10"/>
        <v>64.3</v>
      </c>
      <c r="AA30" s="5">
        <f>SUM(T30:Z30)</f>
        <v>449.5</v>
      </c>
      <c r="AB30" s="146">
        <v>2024</v>
      </c>
      <c r="AC30" s="33"/>
    </row>
    <row r="31" spans="1:36" s="51" customFormat="1" ht="31.2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T44+T139</f>
        <v>5</v>
      </c>
      <c r="U31" s="2">
        <f>U44+U139</f>
        <v>6</v>
      </c>
      <c r="V31" s="44">
        <f>V44+V139</f>
        <v>4</v>
      </c>
      <c r="W31" s="2">
        <f>W44+W139</f>
        <v>4</v>
      </c>
      <c r="X31" s="2">
        <f>X44+X139</f>
        <v>3</v>
      </c>
      <c r="Y31" s="44">
        <f>Y139</f>
        <v>3</v>
      </c>
      <c r="Z31" s="44">
        <f>Z139</f>
        <v>3</v>
      </c>
      <c r="AA31" s="45">
        <f>SUM(T31:Z31)</f>
        <v>28</v>
      </c>
      <c r="AB31" s="146">
        <v>2024</v>
      </c>
      <c r="AC31" s="33"/>
      <c r="AD31" s="50"/>
    </row>
    <row r="32" spans="1:36" s="51" customFormat="1" ht="31.5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6">
        <v>2024</v>
      </c>
      <c r="AC32" s="33"/>
      <c r="AD32" s="50"/>
    </row>
    <row r="33" spans="1:31" ht="46.8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6" t="s">
        <v>50</v>
      </c>
      <c r="T33" s="44">
        <f t="shared" ref="T33:Y33" si="11">T123</f>
        <v>2400</v>
      </c>
      <c r="U33" s="44">
        <f t="shared" si="11"/>
        <v>2400</v>
      </c>
      <c r="V33" s="44">
        <f t="shared" si="11"/>
        <v>4059</v>
      </c>
      <c r="W33" s="44">
        <f t="shared" si="11"/>
        <v>3100</v>
      </c>
      <c r="X33" s="44">
        <f t="shared" si="11"/>
        <v>3100</v>
      </c>
      <c r="Y33" s="44">
        <f t="shared" si="11"/>
        <v>3100</v>
      </c>
      <c r="Z33" s="44">
        <f t="shared" ref="Z33" si="12">Z123</f>
        <v>3100</v>
      </c>
      <c r="AA33" s="45">
        <f>SUM(T33:Z33)</f>
        <v>21259</v>
      </c>
      <c r="AB33" s="146">
        <v>2024</v>
      </c>
      <c r="AC33" s="33"/>
    </row>
    <row r="34" spans="1:31" ht="31.2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6" t="s">
        <v>38</v>
      </c>
      <c r="T34" s="44">
        <f t="shared" ref="T34:Y34" si="13">T56</f>
        <v>10</v>
      </c>
      <c r="U34" s="44">
        <f t="shared" si="13"/>
        <v>10</v>
      </c>
      <c r="V34" s="44">
        <f t="shared" si="13"/>
        <v>9</v>
      </c>
      <c r="W34" s="44">
        <f t="shared" si="13"/>
        <v>10</v>
      </c>
      <c r="X34" s="44">
        <f t="shared" si="13"/>
        <v>10</v>
      </c>
      <c r="Y34" s="44">
        <f t="shared" si="13"/>
        <v>10</v>
      </c>
      <c r="Z34" s="44">
        <f t="shared" ref="Z34" si="14">Z56</f>
        <v>10</v>
      </c>
      <c r="AA34" s="49">
        <v>10</v>
      </c>
      <c r="AB34" s="146">
        <v>2024</v>
      </c>
      <c r="AC34" s="33"/>
    </row>
    <row r="35" spans="1:31" ht="31.2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6" t="s">
        <v>38</v>
      </c>
      <c r="T35" s="44">
        <f t="shared" ref="T35:Y35" si="15">T67</f>
        <v>20</v>
      </c>
      <c r="U35" s="2">
        <f t="shared" si="15"/>
        <v>20</v>
      </c>
      <c r="V35" s="2">
        <f t="shared" si="15"/>
        <v>20</v>
      </c>
      <c r="W35" s="2">
        <f t="shared" si="15"/>
        <v>20</v>
      </c>
      <c r="X35" s="2">
        <f t="shared" si="15"/>
        <v>20</v>
      </c>
      <c r="Y35" s="2">
        <f t="shared" si="15"/>
        <v>20</v>
      </c>
      <c r="Z35" s="2">
        <f t="shared" ref="Z35" si="16">Z67</f>
        <v>20</v>
      </c>
      <c r="AA35" s="49">
        <v>20</v>
      </c>
      <c r="AB35" s="146">
        <v>2024</v>
      </c>
      <c r="AC35" s="33"/>
    </row>
    <row r="36" spans="1:31" s="51" customFormat="1" ht="62.4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333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7">V85</f>
        <v>74</v>
      </c>
      <c r="W36" s="44">
        <f t="shared" si="17"/>
        <v>76</v>
      </c>
      <c r="X36" s="44">
        <f t="shared" si="17"/>
        <v>74</v>
      </c>
      <c r="Y36" s="44">
        <f t="shared" si="17"/>
        <v>74</v>
      </c>
      <c r="Z36" s="44">
        <f t="shared" ref="Z36" si="18">Z85</f>
        <v>74</v>
      </c>
      <c r="AA36" s="49">
        <f>SUM(T36:Z36)</f>
        <v>474</v>
      </c>
      <c r="AB36" s="146">
        <v>2024</v>
      </c>
      <c r="AC36" s="111"/>
      <c r="AD36" s="50"/>
    </row>
    <row r="37" spans="1:31" s="51" customFormat="1" ht="62.4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9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2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6">
        <v>2024</v>
      </c>
      <c r="AC38" s="121"/>
      <c r="AD38" s="102"/>
      <c r="AE38" s="8"/>
    </row>
    <row r="39" spans="1:31" x14ac:dyDescent="0.3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63" t="s">
        <v>73</v>
      </c>
      <c r="S39" s="151" t="s">
        <v>0</v>
      </c>
      <c r="T39" s="59">
        <f t="shared" ref="T39:Y39" si="19">T40+T41+T42+T43</f>
        <v>85389.599999999991</v>
      </c>
      <c r="U39" s="59">
        <f t="shared" si="19"/>
        <v>921.2</v>
      </c>
      <c r="V39" s="59">
        <f t="shared" si="19"/>
        <v>350</v>
      </c>
      <c r="W39" s="59">
        <f t="shared" si="19"/>
        <v>8256.7999999999993</v>
      </c>
      <c r="X39" s="59">
        <f t="shared" si="19"/>
        <v>0</v>
      </c>
      <c r="Y39" s="59">
        <f t="shared" si="19"/>
        <v>0</v>
      </c>
      <c r="Z39" s="59">
        <f t="shared" ref="Z39" si="20">Z40+Z41+Z42+Z43</f>
        <v>0</v>
      </c>
      <c r="AA39" s="59">
        <f>SUM(T39:Y39)</f>
        <v>94917.599999999991</v>
      </c>
      <c r="AB39" s="58">
        <v>2021</v>
      </c>
      <c r="AC39" s="125"/>
      <c r="AD39" s="60"/>
      <c r="AE39" s="8"/>
    </row>
    <row r="40" spans="1:31" ht="16.95" hidden="1" customHeight="1" x14ac:dyDescent="0.3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63"/>
      <c r="S40" s="152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95" hidden="1" customHeight="1" x14ac:dyDescent="0.3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63"/>
      <c r="S41" s="152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3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63"/>
      <c r="S42" s="152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3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63"/>
      <c r="S43" s="153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</f>
        <v>8256.7999999999993</v>
      </c>
      <c r="X43" s="1">
        <v>0</v>
      </c>
      <c r="Y43" s="1">
        <v>0</v>
      </c>
      <c r="Z43" s="1">
        <v>0</v>
      </c>
      <c r="AA43" s="59">
        <f>T43+U43+V43+W43+X43+Y43</f>
        <v>11243.2</v>
      </c>
      <c r="AB43" s="58">
        <v>2021</v>
      </c>
      <c r="AC43" s="123"/>
      <c r="AD43" s="104"/>
      <c r="AE43" s="104"/>
    </row>
    <row r="44" spans="1:31" s="72" customFormat="1" ht="31.95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2</v>
      </c>
      <c r="X44" s="44">
        <v>0</v>
      </c>
      <c r="Y44" s="44">
        <v>0</v>
      </c>
      <c r="Z44" s="44">
        <v>0</v>
      </c>
      <c r="AA44" s="49">
        <f>SUM(T44:Z44)</f>
        <v>7</v>
      </c>
      <c r="AB44" s="73">
        <v>2021</v>
      </c>
      <c r="AC44" s="33"/>
      <c r="AD44" s="96"/>
      <c r="AE44" s="96"/>
    </row>
    <row r="45" spans="1:31" s="72" customFormat="1" ht="32.4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f>2.9+0.6</f>
        <v>3.5</v>
      </c>
      <c r="X45" s="3">
        <v>0</v>
      </c>
      <c r="Y45" s="3">
        <v>0</v>
      </c>
      <c r="Z45" s="3">
        <v>0</v>
      </c>
      <c r="AA45" s="6">
        <f>SUM(T45:Z45)</f>
        <v>93.1</v>
      </c>
      <c r="AB45" s="73">
        <v>2021</v>
      </c>
      <c r="AC45" s="33"/>
      <c r="AD45" s="96"/>
      <c r="AE45" s="96"/>
    </row>
    <row r="46" spans="1:31" s="72" customFormat="1" ht="46.8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363</v>
      </c>
      <c r="S46" s="62" t="s">
        <v>38</v>
      </c>
      <c r="T46" s="44">
        <v>8</v>
      </c>
      <c r="U46" s="44">
        <v>5</v>
      </c>
      <c r="V46" s="44">
        <v>8</v>
      </c>
      <c r="W46" s="44">
        <v>16</v>
      </c>
      <c r="X46" s="44">
        <v>0</v>
      </c>
      <c r="Y46" s="44">
        <v>0</v>
      </c>
      <c r="Z46" s="44">
        <v>0</v>
      </c>
      <c r="AA46" s="49">
        <f>SUM(T46:Z46)</f>
        <v>37</v>
      </c>
      <c r="AB46" s="73">
        <v>2021</v>
      </c>
      <c r="AC46" s="33"/>
      <c r="AD46" s="96"/>
      <c r="AE46" s="96"/>
    </row>
    <row r="47" spans="1:31" ht="46.8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49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2" x14ac:dyDescent="0.3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3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70" t="s">
        <v>78</v>
      </c>
      <c r="S49" s="63" t="s">
        <v>0</v>
      </c>
      <c r="T49" s="1"/>
      <c r="U49" s="1">
        <f t="shared" ref="U49:Z49" si="21">U51</f>
        <v>0</v>
      </c>
      <c r="V49" s="1">
        <f t="shared" si="21"/>
        <v>0</v>
      </c>
      <c r="W49" s="1">
        <f t="shared" si="21"/>
        <v>0</v>
      </c>
      <c r="X49" s="1">
        <f t="shared" si="21"/>
        <v>0</v>
      </c>
      <c r="Y49" s="1">
        <f t="shared" si="21"/>
        <v>0</v>
      </c>
      <c r="Z49" s="1">
        <f t="shared" si="21"/>
        <v>0</v>
      </c>
      <c r="AA49" s="59">
        <f>T49+U49+V49+W49+X49+Y49</f>
        <v>0</v>
      </c>
      <c r="AB49" s="58">
        <v>2018</v>
      </c>
    </row>
    <row r="50" spans="1:34" ht="22.2" hidden="1" customHeight="1" x14ac:dyDescent="0.3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71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399999999999999" hidden="1" customHeight="1" x14ac:dyDescent="0.3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71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3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71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3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" hidden="1" customHeight="1" x14ac:dyDescent="0.3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2" x14ac:dyDescent="0.3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2">T57+T59+T64+T61</f>
        <v>5077.4000000000005</v>
      </c>
      <c r="U55" s="59">
        <f t="shared" si="22"/>
        <v>2855.4</v>
      </c>
      <c r="V55" s="59">
        <f t="shared" si="22"/>
        <v>2623.8999999999996</v>
      </c>
      <c r="W55" s="59">
        <f t="shared" si="22"/>
        <v>3755</v>
      </c>
      <c r="X55" s="59">
        <f t="shared" si="22"/>
        <v>3600</v>
      </c>
      <c r="Y55" s="59">
        <f t="shared" si="22"/>
        <v>3600</v>
      </c>
      <c r="Z55" s="59">
        <f t="shared" ref="Z55" si="23">Z57+Z59+Z64+Z61</f>
        <v>3600</v>
      </c>
      <c r="AA55" s="59">
        <f>SUM(T55:Z55)</f>
        <v>25111.7</v>
      </c>
      <c r="AB55" s="58">
        <v>2024</v>
      </c>
      <c r="AC55" s="120"/>
    </row>
    <row r="56" spans="1:34" ht="31.2" x14ac:dyDescent="0.3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46" t="s">
        <v>38</v>
      </c>
      <c r="T56" s="2">
        <f t="shared" ref="T56:Y56" si="24">T58+T60+T62+T65</f>
        <v>10</v>
      </c>
      <c r="U56" s="2">
        <f t="shared" si="24"/>
        <v>10</v>
      </c>
      <c r="V56" s="2">
        <f t="shared" si="24"/>
        <v>9</v>
      </c>
      <c r="W56" s="2">
        <f t="shared" si="24"/>
        <v>10</v>
      </c>
      <c r="X56" s="2">
        <f t="shared" si="24"/>
        <v>10</v>
      </c>
      <c r="Y56" s="2">
        <f t="shared" si="24"/>
        <v>10</v>
      </c>
      <c r="Z56" s="2">
        <f t="shared" ref="Z56" si="25">Z58+Z60+Z62+Z65</f>
        <v>10</v>
      </c>
      <c r="AA56" s="49">
        <v>9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2" x14ac:dyDescent="0.3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v>1000</v>
      </c>
      <c r="X57" s="1">
        <v>1000</v>
      </c>
      <c r="Y57" s="1">
        <v>1000</v>
      </c>
      <c r="Z57" s="1">
        <v>1000</v>
      </c>
      <c r="AA57" s="59">
        <f>SUM(T57:Z57)</f>
        <v>6625.1</v>
      </c>
      <c r="AB57" s="58">
        <v>2024</v>
      </c>
      <c r="AC57" s="118"/>
      <c r="AD57" s="71"/>
      <c r="AE57" s="71"/>
    </row>
    <row r="58" spans="1:34" s="51" customFormat="1" ht="46.8" x14ac:dyDescent="0.3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2" x14ac:dyDescent="0.3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v>1100</v>
      </c>
      <c r="X59" s="1">
        <v>1100</v>
      </c>
      <c r="Y59" s="1">
        <v>1100</v>
      </c>
      <c r="Z59" s="1">
        <v>1100</v>
      </c>
      <c r="AA59" s="59">
        <f>SUM(T59:Z59)</f>
        <v>7196.6</v>
      </c>
      <c r="AB59" s="58">
        <v>2024</v>
      </c>
      <c r="AC59" s="33"/>
      <c r="AD59" s="71"/>
      <c r="AE59" s="71"/>
    </row>
    <row r="60" spans="1:34" s="51" customFormat="1" ht="46.8" x14ac:dyDescent="0.3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2" x14ac:dyDescent="0.3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v>800</v>
      </c>
      <c r="Y61" s="1">
        <v>800</v>
      </c>
      <c r="Z61" s="1">
        <v>800</v>
      </c>
      <c r="AA61" s="59">
        <f>SUM(T61:Z61)</f>
        <v>5212.6000000000004</v>
      </c>
      <c r="AB61" s="58">
        <v>2024</v>
      </c>
      <c r="AC61" s="120"/>
    </row>
    <row r="62" spans="1:34" s="72" customFormat="1" ht="48" customHeight="1" x14ac:dyDescent="0.3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3</v>
      </c>
      <c r="X62" s="44">
        <v>3</v>
      </c>
      <c r="Y62" s="44">
        <v>3</v>
      </c>
      <c r="Z62" s="44">
        <v>3</v>
      </c>
      <c r="AA62" s="49">
        <v>3</v>
      </c>
      <c r="AB62" s="41">
        <v>2024</v>
      </c>
      <c r="AC62" s="33"/>
    </row>
    <row r="63" spans="1:34" s="51" customFormat="1" ht="47.25" hidden="1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2" x14ac:dyDescent="0.3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</f>
        <v>700</v>
      </c>
      <c r="X64" s="1">
        <f t="shared" ref="X64:Z64" si="26">600+100</f>
        <v>700</v>
      </c>
      <c r="Y64" s="1">
        <f t="shared" si="26"/>
        <v>700</v>
      </c>
      <c r="Z64" s="1">
        <f t="shared" si="26"/>
        <v>700</v>
      </c>
      <c r="AA64" s="59">
        <f>SUM(T64:Z64)</f>
        <v>6077.4000000000005</v>
      </c>
      <c r="AB64" s="58">
        <v>2024</v>
      </c>
      <c r="AC64" s="120"/>
    </row>
    <row r="65" spans="1:34" s="72" customFormat="1" ht="46.8" x14ac:dyDescent="0.3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2" x14ac:dyDescent="0.3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7">T68+T70+T77</f>
        <v>3922.5999999999995</v>
      </c>
      <c r="U66" s="59">
        <f t="shared" si="27"/>
        <v>4901.3</v>
      </c>
      <c r="V66" s="59">
        <f>V68+V70+V77</f>
        <v>5627.7999999999993</v>
      </c>
      <c r="W66" s="59">
        <f t="shared" si="27"/>
        <v>5531.7999999999993</v>
      </c>
      <c r="X66" s="59">
        <f t="shared" si="27"/>
        <v>3045.3</v>
      </c>
      <c r="Y66" s="59">
        <f t="shared" si="27"/>
        <v>3045.3</v>
      </c>
      <c r="Z66" s="59">
        <f t="shared" ref="Z66" si="28">Z68+Z70+Z77</f>
        <v>3045.3</v>
      </c>
      <c r="AA66" s="59">
        <f>SUM(T66:Z66)</f>
        <v>29119.399999999998</v>
      </c>
      <c r="AB66" s="58">
        <v>2024</v>
      </c>
      <c r="AC66" s="120"/>
    </row>
    <row r="67" spans="1:34" s="51" customFormat="1" ht="31.2" customHeight="1" x14ac:dyDescent="0.3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46" t="s">
        <v>38</v>
      </c>
      <c r="T67" s="2">
        <f t="shared" ref="T67:Y67" si="29">T69+T76+T81</f>
        <v>20</v>
      </c>
      <c r="U67" s="2">
        <f t="shared" si="29"/>
        <v>20</v>
      </c>
      <c r="V67" s="2">
        <f t="shared" si="29"/>
        <v>20</v>
      </c>
      <c r="W67" s="2">
        <f t="shared" si="29"/>
        <v>20</v>
      </c>
      <c r="X67" s="2">
        <f t="shared" si="29"/>
        <v>20</v>
      </c>
      <c r="Y67" s="2">
        <f t="shared" si="29"/>
        <v>20</v>
      </c>
      <c r="Z67" s="2">
        <f t="shared" ref="Z67" si="30">Z69+Z76+Z81</f>
        <v>20</v>
      </c>
      <c r="AA67" s="49">
        <v>20</v>
      </c>
      <c r="AB67" s="41">
        <v>2024</v>
      </c>
      <c r="AC67" s="33"/>
    </row>
    <row r="68" spans="1:34" s="72" customFormat="1" ht="31.2" x14ac:dyDescent="0.3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f>619.5+120.1</f>
        <v>739.6</v>
      </c>
      <c r="X68" s="1">
        <v>619.5</v>
      </c>
      <c r="Y68" s="1">
        <v>619.5</v>
      </c>
      <c r="Z68" s="1">
        <v>619.5</v>
      </c>
      <c r="AA68" s="59">
        <f>SUM(T68:Z68)</f>
        <v>6111.4000000000005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6.8" x14ac:dyDescent="0.3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3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63" t="s">
        <v>93</v>
      </c>
      <c r="S70" s="151" t="s">
        <v>0</v>
      </c>
      <c r="T70" s="1">
        <f>SUM(T71:T75)</f>
        <v>501.8</v>
      </c>
      <c r="U70" s="1">
        <f t="shared" ref="U70:Z70" si="31">SUM(U71:U75)</f>
        <v>1483.3</v>
      </c>
      <c r="V70" s="1">
        <f t="shared" si="31"/>
        <v>1744.9</v>
      </c>
      <c r="W70" s="1">
        <f t="shared" si="31"/>
        <v>3236.8999999999996</v>
      </c>
      <c r="X70" s="1">
        <f t="shared" si="31"/>
        <v>870.5</v>
      </c>
      <c r="Y70" s="1">
        <f t="shared" si="31"/>
        <v>870.5</v>
      </c>
      <c r="Z70" s="1">
        <f t="shared" si="31"/>
        <v>870.5</v>
      </c>
      <c r="AA70" s="59">
        <f>SUM(T70:Z70)</f>
        <v>9578.4</v>
      </c>
      <c r="AB70" s="58">
        <v>2024</v>
      </c>
      <c r="AC70" s="120"/>
    </row>
    <row r="71" spans="1:34" s="72" customFormat="1" x14ac:dyDescent="0.3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177</v>
      </c>
      <c r="Q71" s="54" t="s">
        <v>18</v>
      </c>
      <c r="R71" s="163"/>
      <c r="S71" s="152"/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32">SUM(T71:Z71)</f>
        <v>685.2</v>
      </c>
      <c r="AB71" s="58">
        <v>2019</v>
      </c>
      <c r="AC71" s="120"/>
    </row>
    <row r="72" spans="1:34" s="72" customFormat="1" x14ac:dyDescent="0.3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177</v>
      </c>
      <c r="Q72" s="54" t="s">
        <v>18</v>
      </c>
      <c r="R72" s="163"/>
      <c r="S72" s="152"/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32"/>
        <v>472.80000000000007</v>
      </c>
      <c r="AB72" s="58">
        <v>2019</v>
      </c>
      <c r="AC72" s="120"/>
    </row>
    <row r="73" spans="1:34" s="72" customFormat="1" x14ac:dyDescent="0.3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63"/>
      <c r="S73" s="152"/>
      <c r="T73" s="1">
        <v>0</v>
      </c>
      <c r="U73" s="1">
        <v>0</v>
      </c>
      <c r="V73" s="1">
        <v>1100</v>
      </c>
      <c r="W73" s="1">
        <f>0+2308.5</f>
        <v>2308.5</v>
      </c>
      <c r="X73" s="1">
        <v>0</v>
      </c>
      <c r="Y73" s="1">
        <v>0</v>
      </c>
      <c r="Z73" s="1">
        <v>0</v>
      </c>
      <c r="AA73" s="59">
        <f t="shared" si="32"/>
        <v>3408.5</v>
      </c>
      <c r="AB73" s="58">
        <v>2021</v>
      </c>
      <c r="AC73" s="120"/>
    </row>
    <row r="74" spans="1:34" s="72" customFormat="1" x14ac:dyDescent="0.3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63"/>
      <c r="S74" s="152"/>
      <c r="T74" s="1">
        <v>0</v>
      </c>
      <c r="U74" s="1">
        <v>0</v>
      </c>
      <c r="V74" s="1">
        <f>149.5-11</f>
        <v>138.5</v>
      </c>
      <c r="W74" s="1">
        <f>0+393.6</f>
        <v>393.6</v>
      </c>
      <c r="X74" s="1">
        <v>0</v>
      </c>
      <c r="Y74" s="1">
        <v>0</v>
      </c>
      <c r="Z74" s="1">
        <v>0</v>
      </c>
      <c r="AA74" s="59">
        <f t="shared" si="32"/>
        <v>532.1</v>
      </c>
      <c r="AB74" s="58">
        <v>2021</v>
      </c>
      <c r="AC74" s="120"/>
    </row>
    <row r="75" spans="1:34" s="72" customFormat="1" x14ac:dyDescent="0.3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63"/>
      <c r="S75" s="153"/>
      <c r="T75" s="1">
        <v>501.8</v>
      </c>
      <c r="U75" s="1">
        <v>325.3</v>
      </c>
      <c r="V75" s="1">
        <f>870.5-149.5-214.6</f>
        <v>506.4</v>
      </c>
      <c r="W75" s="1">
        <f>870.5-335.7</f>
        <v>534.79999999999995</v>
      </c>
      <c r="X75" s="1">
        <v>870.5</v>
      </c>
      <c r="Y75" s="1">
        <v>870.5</v>
      </c>
      <c r="Z75" s="1">
        <v>870.5</v>
      </c>
      <c r="AA75" s="59">
        <f t="shared" si="32"/>
        <v>4479.8</v>
      </c>
      <c r="AB75" s="58">
        <v>2024</v>
      </c>
      <c r="AC75" s="120"/>
    </row>
    <row r="76" spans="1:34" s="51" customFormat="1" ht="48" customHeigh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3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64" t="s">
        <v>96</v>
      </c>
      <c r="S77" s="151" t="s">
        <v>0</v>
      </c>
      <c r="T77" s="1">
        <f>T78+T79+T80</f>
        <v>2096.2999999999997</v>
      </c>
      <c r="U77" s="1">
        <f t="shared" ref="U77:Z77" si="33">U78+U79+U80</f>
        <v>2084.3000000000002</v>
      </c>
      <c r="V77" s="1">
        <f t="shared" si="33"/>
        <v>3027.7999999999997</v>
      </c>
      <c r="W77" s="1">
        <f t="shared" si="33"/>
        <v>1555.3</v>
      </c>
      <c r="X77" s="1">
        <f t="shared" si="33"/>
        <v>1555.3</v>
      </c>
      <c r="Y77" s="1">
        <f t="shared" si="33"/>
        <v>1555.3</v>
      </c>
      <c r="Z77" s="1">
        <f t="shared" si="33"/>
        <v>1555.3</v>
      </c>
      <c r="AA77" s="59">
        <f>SUM(T77:Z77)</f>
        <v>13429.599999999997</v>
      </c>
      <c r="AB77" s="58">
        <v>2024</v>
      </c>
      <c r="AC77" s="120"/>
    </row>
    <row r="78" spans="1:34" s="72" customFormat="1" x14ac:dyDescent="0.3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65"/>
      <c r="S78" s="152"/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4">SUM(T78:Z78)</f>
        <v>1100</v>
      </c>
      <c r="AB78" s="58">
        <v>2020</v>
      </c>
      <c r="AC78" s="120"/>
    </row>
    <row r="79" spans="1:34" s="72" customFormat="1" x14ac:dyDescent="0.3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65"/>
      <c r="S79" s="152"/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4"/>
        <v>39.5</v>
      </c>
      <c r="AB79" s="58">
        <v>2020</v>
      </c>
      <c r="AC79" s="120"/>
    </row>
    <row r="80" spans="1:34" s="72" customFormat="1" x14ac:dyDescent="0.3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66"/>
      <c r="S80" s="153"/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v>1555.3</v>
      </c>
      <c r="X80" s="1">
        <v>1555.3</v>
      </c>
      <c r="Y80" s="1">
        <v>1555.3</v>
      </c>
      <c r="Z80" s="1">
        <v>1555.3</v>
      </c>
      <c r="AA80" s="59">
        <f t="shared" si="34"/>
        <v>12290.099999999999</v>
      </c>
      <c r="AB80" s="58">
        <v>2024</v>
      </c>
      <c r="AC80" s="120"/>
    </row>
    <row r="81" spans="1:30" s="72" customFormat="1" ht="48" customHeight="1" x14ac:dyDescent="0.3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2" x14ac:dyDescent="0.3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5">T86+T90+T94+T98+T102</f>
        <v>4566.3999999999996</v>
      </c>
      <c r="U82" s="59">
        <f>U86+U90+U94+U98+U102</f>
        <v>7525.4000000000005</v>
      </c>
      <c r="V82" s="59">
        <f t="shared" si="35"/>
        <v>8494.6</v>
      </c>
      <c r="W82" s="59">
        <f t="shared" si="35"/>
        <v>8081.3</v>
      </c>
      <c r="X82" s="59">
        <f t="shared" si="35"/>
        <v>6400</v>
      </c>
      <c r="Y82" s="59">
        <f t="shared" si="35"/>
        <v>6400</v>
      </c>
      <c r="Z82" s="59">
        <f t="shared" ref="Z82" si="36">Z86+Z90+Z94+Z98+Z102</f>
        <v>6400</v>
      </c>
      <c r="AA82" s="59">
        <f>SUM(T82:Z82)</f>
        <v>47867.7</v>
      </c>
      <c r="AB82" s="58">
        <v>2024</v>
      </c>
      <c r="AC82" s="120"/>
    </row>
    <row r="83" spans="1:30" s="72" customFormat="1" ht="46.8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46" t="s">
        <v>38</v>
      </c>
      <c r="T83" s="44">
        <f t="shared" ref="T83:Y84" si="37">T87+T91+T95+T99</f>
        <v>65</v>
      </c>
      <c r="U83" s="44">
        <f t="shared" si="37"/>
        <v>198</v>
      </c>
      <c r="V83" s="44">
        <f t="shared" si="37"/>
        <v>310</v>
      </c>
      <c r="W83" s="44">
        <f t="shared" si="37"/>
        <v>118</v>
      </c>
      <c r="X83" s="44">
        <f t="shared" si="37"/>
        <v>117</v>
      </c>
      <c r="Y83" s="44">
        <f t="shared" si="37"/>
        <v>117</v>
      </c>
      <c r="Z83" s="44">
        <f t="shared" ref="Z83" si="38">Z87+Z91+Z95+Z99</f>
        <v>117</v>
      </c>
      <c r="AA83" s="49">
        <f>SUM(T83:Z83)</f>
        <v>1042</v>
      </c>
      <c r="AB83" s="146">
        <v>2024</v>
      </c>
      <c r="AC83" s="33"/>
    </row>
    <row r="84" spans="1:30" s="72" customFormat="1" ht="31.2" x14ac:dyDescent="0.3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46" t="s">
        <v>38</v>
      </c>
      <c r="T84" s="44">
        <f t="shared" si="37"/>
        <v>16</v>
      </c>
      <c r="U84" s="44">
        <f t="shared" si="37"/>
        <v>16</v>
      </c>
      <c r="V84" s="44">
        <f t="shared" si="37"/>
        <v>19</v>
      </c>
      <c r="W84" s="44">
        <f t="shared" si="37"/>
        <v>17</v>
      </c>
      <c r="X84" s="44">
        <f t="shared" si="37"/>
        <v>17</v>
      </c>
      <c r="Y84" s="44">
        <f t="shared" si="37"/>
        <v>17</v>
      </c>
      <c r="Z84" s="44">
        <f t="shared" ref="Z84" si="39">Z88+Z92+Z96+Z100</f>
        <v>17</v>
      </c>
      <c r="AA84" s="49">
        <v>17</v>
      </c>
      <c r="AB84" s="146">
        <v>2024</v>
      </c>
      <c r="AC84" s="33"/>
    </row>
    <row r="85" spans="1:30" ht="46.95" customHeight="1" x14ac:dyDescent="0.3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323</v>
      </c>
      <c r="S85" s="146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40">W89+W93+W97+W103+W101</f>
        <v>76</v>
      </c>
      <c r="X85" s="44">
        <f t="shared" si="40"/>
        <v>74</v>
      </c>
      <c r="Y85" s="44">
        <f t="shared" si="40"/>
        <v>74</v>
      </c>
      <c r="Z85" s="44">
        <f t="shared" ref="Z85" si="41">Z89+Z93+Z97+Z103+Z101</f>
        <v>74</v>
      </c>
      <c r="AA85" s="49">
        <f>SUM(T85:Z85)</f>
        <v>474</v>
      </c>
      <c r="AB85" s="146">
        <v>2024</v>
      </c>
      <c r="AC85" s="123"/>
      <c r="AD85" s="102"/>
    </row>
    <row r="86" spans="1:30" ht="31.2" x14ac:dyDescent="0.3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f>1500+855.8</f>
        <v>2355.8000000000002</v>
      </c>
      <c r="X86" s="1">
        <v>1500</v>
      </c>
      <c r="Y86" s="1">
        <v>1500</v>
      </c>
      <c r="Z86" s="1">
        <v>1500</v>
      </c>
      <c r="AA86" s="59">
        <f>SUM(T86:Z86)</f>
        <v>12510.3</v>
      </c>
      <c r="AB86" s="58">
        <v>2024</v>
      </c>
      <c r="AC86" s="120"/>
    </row>
    <row r="87" spans="1:30" ht="46.2" customHeight="1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46" t="s">
        <v>38</v>
      </c>
      <c r="T87" s="2">
        <v>33</v>
      </c>
      <c r="U87" s="2">
        <v>38</v>
      </c>
      <c r="V87" s="2">
        <v>20</v>
      </c>
      <c r="W87" s="2">
        <v>20</v>
      </c>
      <c r="X87" s="2">
        <v>20</v>
      </c>
      <c r="Y87" s="2">
        <v>20</v>
      </c>
      <c r="Z87" s="2">
        <v>20</v>
      </c>
      <c r="AA87" s="49">
        <f>SUM(T87:Z87)</f>
        <v>171</v>
      </c>
      <c r="AB87" s="41">
        <v>2024</v>
      </c>
      <c r="AC87" s="33"/>
    </row>
    <row r="88" spans="1:30" ht="46.8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46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2.4" x14ac:dyDescent="0.3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324</v>
      </c>
      <c r="S89" s="146" t="s">
        <v>38</v>
      </c>
      <c r="T89" s="44">
        <v>0</v>
      </c>
      <c r="U89" s="44">
        <v>29</v>
      </c>
      <c r="V89" s="44">
        <v>25</v>
      </c>
      <c r="W89" s="44">
        <v>26</v>
      </c>
      <c r="X89" s="44">
        <v>26</v>
      </c>
      <c r="Y89" s="44">
        <v>26</v>
      </c>
      <c r="Z89" s="44">
        <v>26</v>
      </c>
      <c r="AA89" s="49">
        <f>SUM(T89:Z89)</f>
        <v>158</v>
      </c>
      <c r="AB89" s="41">
        <v>2024</v>
      </c>
      <c r="AC89" s="123"/>
      <c r="AD89" s="102"/>
    </row>
    <row r="90" spans="1:30" ht="31.2" x14ac:dyDescent="0.3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v>1500</v>
      </c>
      <c r="X90" s="1">
        <v>1500</v>
      </c>
      <c r="Y90" s="1">
        <v>1500</v>
      </c>
      <c r="Z90" s="1">
        <v>1500</v>
      </c>
      <c r="AA90" s="59">
        <f>SUM(T90:Z90)</f>
        <v>10464</v>
      </c>
      <c r="AB90" s="58">
        <v>2024</v>
      </c>
      <c r="AC90" s="119"/>
      <c r="AD90" s="109"/>
    </row>
    <row r="91" spans="1:30" ht="48" customHeight="1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267</v>
      </c>
      <c r="S91" s="146" t="s">
        <v>38</v>
      </c>
      <c r="T91" s="44">
        <v>4</v>
      </c>
      <c r="U91" s="44">
        <v>58</v>
      </c>
      <c r="V91" s="44">
        <v>0</v>
      </c>
      <c r="W91" s="44">
        <v>8</v>
      </c>
      <c r="X91" s="44">
        <v>8</v>
      </c>
      <c r="Y91" s="44">
        <v>8</v>
      </c>
      <c r="Z91" s="44">
        <v>8</v>
      </c>
      <c r="AA91" s="49">
        <f>SUM(T91:Z91)</f>
        <v>94</v>
      </c>
      <c r="AB91" s="41">
        <v>2024</v>
      </c>
      <c r="AC91" s="33"/>
    </row>
    <row r="92" spans="1:30" s="8" customFormat="1" ht="46.8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268</v>
      </c>
      <c r="S92" s="146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2.4" x14ac:dyDescent="0.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325</v>
      </c>
      <c r="S93" s="146" t="s">
        <v>38</v>
      </c>
      <c r="T93" s="44">
        <v>0</v>
      </c>
      <c r="U93" s="44">
        <v>16</v>
      </c>
      <c r="V93" s="44">
        <v>16</v>
      </c>
      <c r="W93" s="44">
        <v>14</v>
      </c>
      <c r="X93" s="44">
        <v>14</v>
      </c>
      <c r="Y93" s="44">
        <v>14</v>
      </c>
      <c r="Z93" s="44">
        <v>14</v>
      </c>
      <c r="AA93" s="49">
        <f>SUM(T93:Z93)</f>
        <v>88</v>
      </c>
      <c r="AB93" s="41">
        <v>2024</v>
      </c>
      <c r="AC93" s="123"/>
      <c r="AD93" s="102"/>
    </row>
    <row r="94" spans="1:30" ht="31.2" x14ac:dyDescent="0.3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v>1500</v>
      </c>
      <c r="X94" s="1">
        <v>1500</v>
      </c>
      <c r="Y94" s="1">
        <v>1500</v>
      </c>
      <c r="Z94" s="1">
        <v>1500</v>
      </c>
      <c r="AA94" s="59">
        <f>SUM(T94:Z94)</f>
        <v>10321.4</v>
      </c>
      <c r="AB94" s="58">
        <v>2024</v>
      </c>
      <c r="AC94" s="119"/>
      <c r="AD94" s="102"/>
    </row>
    <row r="95" spans="1:30" ht="46.8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269</v>
      </c>
      <c r="S95" s="146" t="s">
        <v>38</v>
      </c>
      <c r="T95" s="2">
        <v>21</v>
      </c>
      <c r="U95" s="2">
        <v>95</v>
      </c>
      <c r="V95" s="2">
        <v>220</v>
      </c>
      <c r="W95" s="2">
        <v>20</v>
      </c>
      <c r="X95" s="2">
        <v>19</v>
      </c>
      <c r="Y95" s="2">
        <v>19</v>
      </c>
      <c r="Z95" s="2">
        <v>19</v>
      </c>
      <c r="AA95" s="49">
        <f>SUM(T95:Z95)</f>
        <v>413</v>
      </c>
      <c r="AB95" s="41">
        <v>2024</v>
      </c>
      <c r="AC95" s="123"/>
      <c r="AD95" s="102"/>
    </row>
    <row r="96" spans="1:30" ht="46.8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270</v>
      </c>
      <c r="S96" s="146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2.4" x14ac:dyDescent="0.3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326</v>
      </c>
      <c r="S97" s="146" t="s">
        <v>38</v>
      </c>
      <c r="T97" s="44">
        <v>0</v>
      </c>
      <c r="U97" s="44">
        <v>16</v>
      </c>
      <c r="V97" s="44">
        <v>15</v>
      </c>
      <c r="W97" s="44">
        <v>22</v>
      </c>
      <c r="X97" s="44">
        <v>22</v>
      </c>
      <c r="Y97" s="44">
        <v>22</v>
      </c>
      <c r="Z97" s="44">
        <v>22</v>
      </c>
      <c r="AA97" s="49">
        <f>SUM(T97:Z97)</f>
        <v>119</v>
      </c>
      <c r="AB97" s="41">
        <v>2024</v>
      </c>
      <c r="AC97" s="123"/>
      <c r="AD97" s="102"/>
    </row>
    <row r="98" spans="1:31" ht="31.2" x14ac:dyDescent="0.3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f>1900-22+817.5</f>
        <v>2695.5</v>
      </c>
      <c r="X98" s="1">
        <v>1900</v>
      </c>
      <c r="Y98" s="1">
        <v>1900</v>
      </c>
      <c r="Z98" s="1">
        <v>1900</v>
      </c>
      <c r="AA98" s="59">
        <f>SUM(T98:Z98)</f>
        <v>13779.099999999999</v>
      </c>
      <c r="AB98" s="58">
        <v>2024</v>
      </c>
      <c r="AC98" s="120"/>
    </row>
    <row r="99" spans="1:31" ht="46.95" customHeight="1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271</v>
      </c>
      <c r="S99" s="146" t="s">
        <v>38</v>
      </c>
      <c r="T99" s="44">
        <v>7</v>
      </c>
      <c r="U99" s="44">
        <v>7</v>
      </c>
      <c r="V99" s="44">
        <v>70</v>
      </c>
      <c r="W99" s="44">
        <v>70</v>
      </c>
      <c r="X99" s="44">
        <v>70</v>
      </c>
      <c r="Y99" s="44">
        <v>70</v>
      </c>
      <c r="Z99" s="44">
        <v>70</v>
      </c>
      <c r="AA99" s="49">
        <f>SUM(T99:Z99)</f>
        <v>364</v>
      </c>
      <c r="AB99" s="41">
        <v>2024</v>
      </c>
      <c r="AC99" s="33"/>
    </row>
    <row r="100" spans="1:31" ht="46.8" x14ac:dyDescent="0.3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272</v>
      </c>
      <c r="S100" s="41" t="s">
        <v>38</v>
      </c>
      <c r="T100" s="44">
        <v>3</v>
      </c>
      <c r="U100" s="44">
        <v>2</v>
      </c>
      <c r="V100" s="44">
        <v>4</v>
      </c>
      <c r="W100" s="44">
        <v>3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2.4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327</v>
      </c>
      <c r="S101" s="146" t="s">
        <v>38</v>
      </c>
      <c r="T101" s="44">
        <v>0</v>
      </c>
      <c r="U101" s="44">
        <v>15</v>
      </c>
      <c r="V101" s="44">
        <v>2</v>
      </c>
      <c r="W101" s="44">
        <v>12</v>
      </c>
      <c r="X101" s="44">
        <v>12</v>
      </c>
      <c r="Y101" s="44">
        <v>12</v>
      </c>
      <c r="Z101" s="44">
        <v>12</v>
      </c>
      <c r="AA101" s="49">
        <f>SUM(T101:Z101)</f>
        <v>65</v>
      </c>
      <c r="AB101" s="41">
        <v>2024</v>
      </c>
      <c r="AC101" s="123"/>
      <c r="AD101" s="102"/>
    </row>
    <row r="102" spans="1:31" ht="31.2" x14ac:dyDescent="0.3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f>0+30</f>
        <v>30</v>
      </c>
      <c r="X102" s="1">
        <v>0</v>
      </c>
      <c r="Y102" s="1">
        <v>0</v>
      </c>
      <c r="Z102" s="1">
        <v>0</v>
      </c>
      <c r="AA102" s="59">
        <f>SUM(T102:Z102)</f>
        <v>792.90000000000009</v>
      </c>
      <c r="AB102" s="58">
        <v>2019</v>
      </c>
      <c r="AC102" s="123"/>
      <c r="AD102" s="102"/>
    </row>
    <row r="103" spans="1:31" ht="48.6" customHeight="1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330</v>
      </c>
      <c r="S103" s="146" t="s">
        <v>38</v>
      </c>
      <c r="T103" s="44">
        <v>25</v>
      </c>
      <c r="U103" s="2">
        <v>1</v>
      </c>
      <c r="V103" s="2">
        <v>16</v>
      </c>
      <c r="W103" s="2">
        <v>2</v>
      </c>
      <c r="X103" s="2">
        <v>0</v>
      </c>
      <c r="Y103" s="2">
        <v>0</v>
      </c>
      <c r="Z103" s="2">
        <v>0</v>
      </c>
      <c r="AA103" s="45">
        <f>SUM(T103:Z103)</f>
        <v>44</v>
      </c>
      <c r="AB103" s="41">
        <v>2021</v>
      </c>
      <c r="AC103" s="123"/>
      <c r="AD103" s="102"/>
    </row>
    <row r="104" spans="1:31" ht="31.2" x14ac:dyDescent="0.3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48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f>154888-50-70-100-600+13707.9</f>
        <v>167775.9</v>
      </c>
      <c r="X104" s="59">
        <v>132888</v>
      </c>
      <c r="Y104" s="59">
        <v>132888</v>
      </c>
      <c r="Z104" s="59">
        <v>132888</v>
      </c>
      <c r="AA104" s="59">
        <f>SUM(T104:Z104)</f>
        <v>1126691.6000000001</v>
      </c>
      <c r="AB104" s="58">
        <v>2024</v>
      </c>
      <c r="AC104" s="119"/>
      <c r="AD104" s="102"/>
    </row>
    <row r="105" spans="1:31" ht="33" customHeight="1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46" t="s">
        <v>50</v>
      </c>
      <c r="T105" s="2">
        <v>21452</v>
      </c>
      <c r="U105" s="2">
        <v>21713</v>
      </c>
      <c r="V105" s="2">
        <v>21820</v>
      </c>
      <c r="W105" s="2">
        <v>22526</v>
      </c>
      <c r="X105" s="2">
        <v>22526</v>
      </c>
      <c r="Y105" s="2">
        <v>22526</v>
      </c>
      <c r="Z105" s="2">
        <v>22526</v>
      </c>
      <c r="AA105" s="49">
        <f>Y105</f>
        <v>22526</v>
      </c>
      <c r="AB105" s="41">
        <v>2024</v>
      </c>
      <c r="AC105" s="123"/>
      <c r="AD105" s="109"/>
      <c r="AE105" s="109"/>
    </row>
    <row r="106" spans="1:31" ht="46.95" customHeight="1" x14ac:dyDescent="0.3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46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2" x14ac:dyDescent="0.3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42">T109+T111+T113+T115</f>
        <v>1880.0999999999997</v>
      </c>
      <c r="U107" s="59">
        <f t="shared" si="42"/>
        <v>1976</v>
      </c>
      <c r="V107" s="59">
        <f t="shared" si="42"/>
        <v>1715.8</v>
      </c>
      <c r="W107" s="59">
        <f t="shared" si="42"/>
        <v>2697.7</v>
      </c>
      <c r="X107" s="59">
        <f t="shared" si="42"/>
        <v>2697.7</v>
      </c>
      <c r="Y107" s="59">
        <f t="shared" si="42"/>
        <v>2697.7</v>
      </c>
      <c r="Z107" s="59">
        <f t="shared" ref="Z107" si="43">Z109+Z111+Z113+Z115</f>
        <v>2697.7</v>
      </c>
      <c r="AA107" s="59">
        <f t="shared" ref="AA107:AA116" si="44">SUM(T107:Z107)</f>
        <v>16362.7</v>
      </c>
      <c r="AB107" s="58">
        <v>2024</v>
      </c>
      <c r="AC107" s="120"/>
    </row>
    <row r="108" spans="1:31" ht="46.8" x14ac:dyDescent="0.3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42"/>
        <v>61</v>
      </c>
      <c r="U108" s="44">
        <f t="shared" si="42"/>
        <v>147</v>
      </c>
      <c r="V108" s="44">
        <f t="shared" si="42"/>
        <v>255</v>
      </c>
      <c r="W108" s="44">
        <f t="shared" si="42"/>
        <v>250</v>
      </c>
      <c r="X108" s="44">
        <f t="shared" si="42"/>
        <v>145</v>
      </c>
      <c r="Y108" s="44">
        <f t="shared" si="42"/>
        <v>145</v>
      </c>
      <c r="Z108" s="44">
        <f t="shared" ref="Z108" si="45">Z110+Z112+Z114+Z116</f>
        <v>145</v>
      </c>
      <c r="AA108" s="49">
        <f t="shared" si="44"/>
        <v>1148</v>
      </c>
      <c r="AB108" s="41">
        <v>2024</v>
      </c>
      <c r="AC108" s="123"/>
      <c r="AD108" s="102"/>
    </row>
    <row r="109" spans="1:31" ht="31.2" x14ac:dyDescent="0.3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4"/>
        <v>5899.1</v>
      </c>
      <c r="AB109" s="58">
        <v>2024</v>
      </c>
      <c r="AC109" s="120"/>
    </row>
    <row r="110" spans="1:31" ht="46.8" x14ac:dyDescent="0.3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46" t="s">
        <v>38</v>
      </c>
      <c r="T110" s="44">
        <f>4+4</f>
        <v>8</v>
      </c>
      <c r="U110" s="44">
        <f>29+21</f>
        <v>50</v>
      </c>
      <c r="V110" s="44">
        <v>23</v>
      </c>
      <c r="W110" s="44">
        <v>29</v>
      </c>
      <c r="X110" s="44">
        <v>29</v>
      </c>
      <c r="Y110" s="44">
        <v>29</v>
      </c>
      <c r="Z110" s="44">
        <v>29</v>
      </c>
      <c r="AA110" s="49">
        <f t="shared" si="44"/>
        <v>197</v>
      </c>
      <c r="AB110" s="41">
        <v>2024</v>
      </c>
      <c r="AC110" s="127"/>
      <c r="AD110" s="109"/>
    </row>
    <row r="111" spans="1:31" ht="31.2" x14ac:dyDescent="0.3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v>630.5</v>
      </c>
      <c r="X111" s="1">
        <v>630.5</v>
      </c>
      <c r="Y111" s="1">
        <v>630.5</v>
      </c>
      <c r="Z111" s="1">
        <v>630.5</v>
      </c>
      <c r="AA111" s="59">
        <f t="shared" si="44"/>
        <v>4127.7</v>
      </c>
      <c r="AB111" s="58">
        <v>2024</v>
      </c>
      <c r="AC111" s="122"/>
      <c r="AD111" s="102"/>
    </row>
    <row r="112" spans="1:31" ht="46.8" x14ac:dyDescent="0.3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46" t="s">
        <v>38</v>
      </c>
      <c r="T112" s="44">
        <v>26</v>
      </c>
      <c r="U112" s="44">
        <v>62</v>
      </c>
      <c r="V112" s="44">
        <v>56</v>
      </c>
      <c r="W112" s="44">
        <v>20</v>
      </c>
      <c r="X112" s="44">
        <v>20</v>
      </c>
      <c r="Y112" s="44">
        <v>20</v>
      </c>
      <c r="Z112" s="44">
        <v>20</v>
      </c>
      <c r="AA112" s="49">
        <f t="shared" si="44"/>
        <v>224</v>
      </c>
      <c r="AB112" s="41">
        <v>2024</v>
      </c>
      <c r="AC112" s="123"/>
      <c r="AD112" s="102"/>
    </row>
    <row r="113" spans="1:32" ht="31.2" x14ac:dyDescent="0.3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v>475.2</v>
      </c>
      <c r="X113" s="1">
        <v>475.2</v>
      </c>
      <c r="Y113" s="1">
        <v>475.2</v>
      </c>
      <c r="Z113" s="1">
        <v>475.2</v>
      </c>
      <c r="AA113" s="59">
        <f t="shared" si="44"/>
        <v>3533.7999999999993</v>
      </c>
      <c r="AB113" s="58">
        <v>2024</v>
      </c>
      <c r="AC113" s="120"/>
    </row>
    <row r="114" spans="1:32" ht="46.8" x14ac:dyDescent="0.3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122</v>
      </c>
      <c r="X114" s="44">
        <v>17</v>
      </c>
      <c r="Y114" s="44">
        <v>17</v>
      </c>
      <c r="Z114" s="44">
        <v>17</v>
      </c>
      <c r="AA114" s="49">
        <f t="shared" si="44"/>
        <v>329</v>
      </c>
      <c r="AB114" s="41">
        <v>2024</v>
      </c>
      <c r="AC114" s="123"/>
      <c r="AD114" s="102"/>
    </row>
    <row r="115" spans="1:32" ht="31.2" x14ac:dyDescent="0.3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v>500</v>
      </c>
      <c r="X115" s="1">
        <v>500</v>
      </c>
      <c r="Y115" s="1">
        <v>500</v>
      </c>
      <c r="Z115" s="1">
        <v>500</v>
      </c>
      <c r="AA115" s="59">
        <f t="shared" si="44"/>
        <v>2802.1</v>
      </c>
      <c r="AB115" s="58">
        <v>2024</v>
      </c>
      <c r="AC115" s="33"/>
    </row>
    <row r="116" spans="1:32" ht="46.8" x14ac:dyDescent="0.3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79</v>
      </c>
      <c r="X116" s="44">
        <v>79</v>
      </c>
      <c r="Y116" s="44">
        <v>79</v>
      </c>
      <c r="Z116" s="44">
        <v>79</v>
      </c>
      <c r="AA116" s="49">
        <f t="shared" si="44"/>
        <v>398</v>
      </c>
      <c r="AB116" s="41">
        <v>2024</v>
      </c>
      <c r="AC116" s="33"/>
    </row>
    <row r="117" spans="1:32" ht="31.2" x14ac:dyDescent="0.3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48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</f>
        <v>5190.6000000000004</v>
      </c>
      <c r="X117" s="59">
        <v>5200</v>
      </c>
      <c r="Y117" s="59">
        <v>5200</v>
      </c>
      <c r="Z117" s="59">
        <v>5200</v>
      </c>
      <c r="AA117" s="59">
        <f>SUM(T117:Z117)</f>
        <v>36301.800000000003</v>
      </c>
      <c r="AB117" s="58">
        <v>2024</v>
      </c>
      <c r="AC117" s="123"/>
      <c r="AD117" s="109"/>
      <c r="AE117" s="109"/>
      <c r="AF117" s="109"/>
    </row>
    <row r="118" spans="1:32" s="72" customFormat="1" ht="46.8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2" x14ac:dyDescent="0.3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46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46">
        <v>2019</v>
      </c>
      <c r="AC119" s="33"/>
      <c r="AD119" s="102"/>
    </row>
    <row r="120" spans="1:32" s="72" customFormat="1" ht="31.2" x14ac:dyDescent="0.3">
      <c r="A120" s="54" t="s">
        <v>18</v>
      </c>
      <c r="B120" s="54" t="s">
        <v>19</v>
      </c>
      <c r="C120" s="54" t="s">
        <v>20</v>
      </c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49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f>89143.1+50</f>
        <v>89193.1</v>
      </c>
      <c r="X120" s="59">
        <v>89143.1</v>
      </c>
      <c r="Y120" s="59">
        <v>89143.1</v>
      </c>
      <c r="Z120" s="59">
        <v>89143.1</v>
      </c>
      <c r="AA120" s="59">
        <f>SUM(T120:Z120)</f>
        <v>620107.89999999991</v>
      </c>
      <c r="AB120" s="58">
        <v>2024</v>
      </c>
      <c r="AC120" s="33"/>
    </row>
    <row r="121" spans="1:32" s="72" customFormat="1" ht="31.2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120</v>
      </c>
      <c r="S121" s="41" t="s">
        <v>52</v>
      </c>
      <c r="T121" s="4">
        <v>3.7</v>
      </c>
      <c r="U121" s="4">
        <v>3.8</v>
      </c>
      <c r="V121" s="4">
        <v>3.7</v>
      </c>
      <c r="W121" s="4">
        <v>3.7</v>
      </c>
      <c r="X121" s="4">
        <v>3.7</v>
      </c>
      <c r="Y121" s="4">
        <v>3.7</v>
      </c>
      <c r="Z121" s="4">
        <v>3.7</v>
      </c>
      <c r="AA121" s="6">
        <v>3.7</v>
      </c>
      <c r="AB121" s="41">
        <v>2024</v>
      </c>
      <c r="AC121" s="33"/>
    </row>
    <row r="122" spans="1:32" ht="46.8" x14ac:dyDescent="0.3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121</v>
      </c>
      <c r="S122" s="41" t="s">
        <v>50</v>
      </c>
      <c r="T122" s="44">
        <v>87</v>
      </c>
      <c r="U122" s="44">
        <v>74</v>
      </c>
      <c r="V122" s="44">
        <v>74</v>
      </c>
      <c r="W122" s="44">
        <v>70</v>
      </c>
      <c r="X122" s="44">
        <v>70</v>
      </c>
      <c r="Y122" s="44">
        <v>70</v>
      </c>
      <c r="Z122" s="44">
        <v>70</v>
      </c>
      <c r="AA122" s="49">
        <v>74</v>
      </c>
      <c r="AB122" s="41">
        <v>2024</v>
      </c>
      <c r="AC122" s="123"/>
      <c r="AD122" s="102"/>
    </row>
    <row r="123" spans="1:32" ht="47.4" customHeight="1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122</v>
      </c>
      <c r="S123" s="146" t="s">
        <v>50</v>
      </c>
      <c r="T123" s="2">
        <v>2400</v>
      </c>
      <c r="U123" s="44">
        <v>2400</v>
      </c>
      <c r="V123" s="44">
        <v>4059</v>
      </c>
      <c r="W123" s="44">
        <v>3100</v>
      </c>
      <c r="X123" s="44">
        <v>3100</v>
      </c>
      <c r="Y123" s="44">
        <v>3100</v>
      </c>
      <c r="Z123" s="44">
        <v>3100</v>
      </c>
      <c r="AA123" s="49">
        <f>SUM(T123:Z123)</f>
        <v>21259</v>
      </c>
      <c r="AB123" s="41">
        <v>2024</v>
      </c>
      <c r="AC123" s="123"/>
      <c r="AD123" s="102"/>
    </row>
    <row r="124" spans="1:32" ht="46.8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123</v>
      </c>
      <c r="S124" s="146" t="s">
        <v>32</v>
      </c>
      <c r="T124" s="4">
        <v>12100</v>
      </c>
      <c r="U124" s="3">
        <v>11300</v>
      </c>
      <c r="V124" s="3">
        <v>16000</v>
      </c>
      <c r="W124" s="3">
        <v>13499</v>
      </c>
      <c r="X124" s="3">
        <v>13499</v>
      </c>
      <c r="Y124" s="3">
        <v>13499</v>
      </c>
      <c r="Z124" s="3">
        <v>13499</v>
      </c>
      <c r="AA124" s="49">
        <f t="shared" ref="AA124:AA125" si="46">SUM(T124:Z124)</f>
        <v>93396</v>
      </c>
      <c r="AB124" s="41">
        <v>2024</v>
      </c>
      <c r="AC124" s="123"/>
      <c r="AD124" s="102"/>
    </row>
    <row r="125" spans="1:32" s="51" customFormat="1" ht="30" customHeight="1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124</v>
      </c>
      <c r="S125" s="146" t="s">
        <v>34</v>
      </c>
      <c r="T125" s="4">
        <v>8969</v>
      </c>
      <c r="U125" s="3">
        <v>9945</v>
      </c>
      <c r="V125" s="3">
        <v>10275</v>
      </c>
      <c r="W125" s="3">
        <v>12053</v>
      </c>
      <c r="X125" s="3">
        <v>12053</v>
      </c>
      <c r="Y125" s="3">
        <v>12053</v>
      </c>
      <c r="Z125" s="3">
        <v>12053</v>
      </c>
      <c r="AA125" s="49">
        <f t="shared" si="46"/>
        <v>77401</v>
      </c>
      <c r="AB125" s="41">
        <v>2024</v>
      </c>
      <c r="AC125" s="123"/>
      <c r="AD125" s="102"/>
    </row>
    <row r="126" spans="1:32" s="51" customFormat="1" ht="31.2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125</v>
      </c>
      <c r="S126" s="41" t="s">
        <v>52</v>
      </c>
      <c r="T126" s="3">
        <v>2557</v>
      </c>
      <c r="U126" s="3">
        <v>2220.9</v>
      </c>
      <c r="V126" s="3">
        <v>2165.9</v>
      </c>
      <c r="W126" s="3">
        <v>2147.5</v>
      </c>
      <c r="X126" s="3">
        <v>2221</v>
      </c>
      <c r="Y126" s="3">
        <v>2221</v>
      </c>
      <c r="Z126" s="3">
        <v>2221</v>
      </c>
      <c r="AA126" s="6">
        <f>Z126</f>
        <v>2221</v>
      </c>
      <c r="AB126" s="41">
        <v>2024</v>
      </c>
      <c r="AC126" s="33"/>
    </row>
    <row r="127" spans="1:32" ht="62.4" x14ac:dyDescent="0.3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126</v>
      </c>
      <c r="S127" s="41" t="s">
        <v>36</v>
      </c>
      <c r="T127" s="44">
        <v>247</v>
      </c>
      <c r="U127" s="44">
        <v>247</v>
      </c>
      <c r="V127" s="44">
        <v>249</v>
      </c>
      <c r="W127" s="44">
        <v>247</v>
      </c>
      <c r="X127" s="44">
        <v>247</v>
      </c>
      <c r="Y127" s="44">
        <v>247</v>
      </c>
      <c r="Z127" s="44">
        <v>247</v>
      </c>
      <c r="AA127" s="49">
        <f>SUM(T127:Z127)</f>
        <v>1731</v>
      </c>
      <c r="AB127" s="41">
        <v>2024</v>
      </c>
      <c r="AC127" s="33"/>
    </row>
    <row r="128" spans="1:32" ht="31.2" x14ac:dyDescent="0.3">
      <c r="A128" s="54" t="s">
        <v>18</v>
      </c>
      <c r="B128" s="54" t="s">
        <v>19</v>
      </c>
      <c r="C128" s="54" t="s">
        <v>24</v>
      </c>
      <c r="D128" s="54" t="s">
        <v>18</v>
      </c>
      <c r="E128" s="54" t="s">
        <v>21</v>
      </c>
      <c r="F128" s="54" t="s">
        <v>18</v>
      </c>
      <c r="G128" s="54" t="s">
        <v>22</v>
      </c>
      <c r="H128" s="54" t="s">
        <v>19</v>
      </c>
      <c r="I128" s="54" t="s">
        <v>24</v>
      </c>
      <c r="J128" s="54" t="s">
        <v>18</v>
      </c>
      <c r="K128" s="54" t="s">
        <v>18</v>
      </c>
      <c r="L128" s="54" t="s">
        <v>19</v>
      </c>
      <c r="M128" s="54" t="s">
        <v>43</v>
      </c>
      <c r="N128" s="54" t="s">
        <v>43</v>
      </c>
      <c r="O128" s="54" t="s">
        <v>43</v>
      </c>
      <c r="P128" s="54" t="s">
        <v>43</v>
      </c>
      <c r="Q128" s="54" t="s">
        <v>43</v>
      </c>
      <c r="R128" s="68" t="s">
        <v>127</v>
      </c>
      <c r="S128" s="94" t="s">
        <v>0</v>
      </c>
      <c r="T128" s="59">
        <f>0+236</f>
        <v>236</v>
      </c>
      <c r="U128" s="59">
        <f>1036-229-48-141.6</f>
        <v>617.4</v>
      </c>
      <c r="V128" s="59">
        <f>1036-150-281.7-227.2</f>
        <v>377.09999999999997</v>
      </c>
      <c r="W128" s="59">
        <f>886-30</f>
        <v>856</v>
      </c>
      <c r="X128" s="59">
        <v>886</v>
      </c>
      <c r="Y128" s="59">
        <v>886</v>
      </c>
      <c r="Z128" s="59">
        <v>886</v>
      </c>
      <c r="AA128" s="59">
        <f>SUM(T128:Z128)</f>
        <v>4744.5</v>
      </c>
      <c r="AB128" s="58">
        <v>2024</v>
      </c>
      <c r="AC128" s="33"/>
    </row>
    <row r="129" spans="1:32" ht="31.2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128</v>
      </c>
      <c r="S129" s="146" t="s">
        <v>50</v>
      </c>
      <c r="T129" s="2">
        <v>0</v>
      </c>
      <c r="U129" s="2">
        <v>1</v>
      </c>
      <c r="V129" s="2">
        <v>0</v>
      </c>
      <c r="W129" s="2">
        <v>0</v>
      </c>
      <c r="X129" s="2">
        <v>5</v>
      </c>
      <c r="Y129" s="2">
        <v>5</v>
      </c>
      <c r="Z129" s="2">
        <v>5</v>
      </c>
      <c r="AA129" s="49">
        <f>SUM(U129:Z129)</f>
        <v>16</v>
      </c>
      <c r="AB129" s="41">
        <v>2024</v>
      </c>
      <c r="AC129" s="123"/>
      <c r="AD129" s="109"/>
      <c r="AE129" s="109"/>
      <c r="AF129" s="109"/>
    </row>
    <row r="130" spans="1:32" ht="31.2" x14ac:dyDescent="0.3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1" t="s">
        <v>179</v>
      </c>
      <c r="S130" s="146" t="s">
        <v>50</v>
      </c>
      <c r="T130" s="2">
        <v>3</v>
      </c>
      <c r="U130" s="2">
        <f>5-1</f>
        <v>4</v>
      </c>
      <c r="V130" s="2">
        <f t="shared" ref="V130:Z130" si="47">5-1</f>
        <v>4</v>
      </c>
      <c r="W130" s="2">
        <f t="shared" si="47"/>
        <v>4</v>
      </c>
      <c r="X130" s="2">
        <f t="shared" si="47"/>
        <v>4</v>
      </c>
      <c r="Y130" s="2">
        <f t="shared" si="47"/>
        <v>4</v>
      </c>
      <c r="Z130" s="2">
        <f t="shared" si="47"/>
        <v>4</v>
      </c>
      <c r="AA130" s="49">
        <v>4</v>
      </c>
      <c r="AB130" s="41">
        <v>2024</v>
      </c>
      <c r="AC130" s="33"/>
      <c r="AD130" s="109"/>
      <c r="AE130" s="109"/>
      <c r="AF130" s="109"/>
    </row>
    <row r="131" spans="1:32" ht="31.2" x14ac:dyDescent="0.3">
      <c r="A131" s="54" t="s">
        <v>18</v>
      </c>
      <c r="B131" s="54" t="s">
        <v>19</v>
      </c>
      <c r="C131" s="54" t="s">
        <v>20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68" t="s">
        <v>174</v>
      </c>
      <c r="S131" s="94" t="s">
        <v>0</v>
      </c>
      <c r="T131" s="59">
        <f>0+550+1550.7</f>
        <v>2100.6999999999998</v>
      </c>
      <c r="U131" s="59">
        <f>0+4000</f>
        <v>4000</v>
      </c>
      <c r="V131" s="59">
        <f>0</f>
        <v>0</v>
      </c>
      <c r="W131" s="59">
        <f>0</f>
        <v>0</v>
      </c>
      <c r="X131" s="59">
        <f>0</f>
        <v>0</v>
      </c>
      <c r="Y131" s="59">
        <f>0</f>
        <v>0</v>
      </c>
      <c r="Z131" s="59">
        <f>0</f>
        <v>0</v>
      </c>
      <c r="AA131" s="59">
        <f>SUM(T131:Z131)</f>
        <v>6100.7</v>
      </c>
      <c r="AB131" s="58">
        <v>2019</v>
      </c>
      <c r="AC131" s="33"/>
    </row>
    <row r="132" spans="1:32" ht="30" customHeight="1" x14ac:dyDescent="0.3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173</v>
      </c>
      <c r="S132" s="146" t="s">
        <v>38</v>
      </c>
      <c r="T132" s="2">
        <v>2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49">
        <f>SUM(T132:Z132)</f>
        <v>3</v>
      </c>
      <c r="AB132" s="41">
        <v>2019</v>
      </c>
      <c r="AC132" s="123"/>
      <c r="AD132" s="109"/>
      <c r="AE132" s="109"/>
      <c r="AF132" s="109"/>
    </row>
    <row r="133" spans="1:32" ht="15.6" customHeight="1" x14ac:dyDescent="0.3">
      <c r="A133" s="54"/>
      <c r="B133" s="54"/>
      <c r="C133" s="54"/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265</v>
      </c>
      <c r="L133" s="54" t="s">
        <v>20</v>
      </c>
      <c r="M133" s="54" t="s">
        <v>18</v>
      </c>
      <c r="N133" s="54" t="s">
        <v>18</v>
      </c>
      <c r="O133" s="54" t="s">
        <v>18</v>
      </c>
      <c r="P133" s="54" t="s">
        <v>18</v>
      </c>
      <c r="Q133" s="54" t="s">
        <v>18</v>
      </c>
      <c r="R133" s="158" t="s">
        <v>286</v>
      </c>
      <c r="S133" s="151" t="s">
        <v>0</v>
      </c>
      <c r="T133" s="59">
        <v>0</v>
      </c>
      <c r="U133" s="59">
        <f>SUM(U134:U137)</f>
        <v>116632.7</v>
      </c>
      <c r="V133" s="59">
        <f>V135+V134+V136+V137+V138</f>
        <v>125649.7</v>
      </c>
      <c r="W133" s="59">
        <f>SUM(W134:W137)</f>
        <v>82671.3</v>
      </c>
      <c r="X133" s="59">
        <f t="shared" ref="X133:Z133" si="48">X135</f>
        <v>5000</v>
      </c>
      <c r="Y133" s="59">
        <f t="shared" si="48"/>
        <v>5000</v>
      </c>
      <c r="Z133" s="59">
        <f t="shared" si="48"/>
        <v>5000</v>
      </c>
      <c r="AA133" s="59">
        <f>SUM(T133:Z133)</f>
        <v>339953.7</v>
      </c>
      <c r="AB133" s="58">
        <v>2024</v>
      </c>
      <c r="AD133" s="104"/>
      <c r="AE133" s="104"/>
    </row>
    <row r="134" spans="1:32" x14ac:dyDescent="0.3">
      <c r="A134" s="54" t="s">
        <v>18</v>
      </c>
      <c r="B134" s="54" t="s">
        <v>19</v>
      </c>
      <c r="C134" s="54" t="s">
        <v>20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9"/>
      <c r="S134" s="152"/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59">
        <f>SUM(T134:Z134)</f>
        <v>0</v>
      </c>
      <c r="AB134" s="58">
        <v>2024</v>
      </c>
      <c r="AD134" s="104"/>
      <c r="AE134" s="104"/>
    </row>
    <row r="135" spans="1:32" x14ac:dyDescent="0.3">
      <c r="A135" s="54" t="s">
        <v>18</v>
      </c>
      <c r="B135" s="54" t="s">
        <v>24</v>
      </c>
      <c r="C135" s="54" t="s">
        <v>22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265</v>
      </c>
      <c r="L135" s="54" t="s">
        <v>20</v>
      </c>
      <c r="M135" s="54" t="s">
        <v>21</v>
      </c>
      <c r="N135" s="54" t="s">
        <v>21</v>
      </c>
      <c r="O135" s="54" t="s">
        <v>21</v>
      </c>
      <c r="P135" s="54" t="s">
        <v>21</v>
      </c>
      <c r="Q135" s="54" t="s">
        <v>19</v>
      </c>
      <c r="R135" s="159"/>
      <c r="S135" s="152"/>
      <c r="T135" s="1">
        <v>0</v>
      </c>
      <c r="U135" s="1">
        <f>115690</f>
        <v>115690</v>
      </c>
      <c r="V135" s="1">
        <v>112612.2</v>
      </c>
      <c r="W135" s="1">
        <f>77969.8+435.9</f>
        <v>78405.7</v>
      </c>
      <c r="X135" s="1">
        <v>5000</v>
      </c>
      <c r="Y135" s="1">
        <v>5000</v>
      </c>
      <c r="Z135" s="1">
        <v>5000</v>
      </c>
      <c r="AA135" s="59">
        <f t="shared" ref="AA135:AA137" si="49">SUM(T135:Z135)</f>
        <v>321707.90000000002</v>
      </c>
      <c r="AB135" s="58">
        <v>2024</v>
      </c>
      <c r="AD135" s="104"/>
      <c r="AE135" s="104"/>
    </row>
    <row r="136" spans="1:32" ht="15.6" hidden="1" customHeight="1" x14ac:dyDescent="0.3">
      <c r="A136" s="54" t="s">
        <v>18</v>
      </c>
      <c r="B136" s="54" t="s">
        <v>19</v>
      </c>
      <c r="C136" s="54" t="s">
        <v>20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9"/>
      <c r="S136" s="152"/>
      <c r="T136" s="1">
        <v>0</v>
      </c>
      <c r="U136" s="1">
        <f>840+131.2-50-921.2</f>
        <v>0</v>
      </c>
      <c r="V136" s="1">
        <f>150+100+100-350</f>
        <v>0</v>
      </c>
      <c r="W136" s="1">
        <v>0</v>
      </c>
      <c r="X136" s="1">
        <v>0</v>
      </c>
      <c r="Y136" s="1">
        <v>0</v>
      </c>
      <c r="Z136" s="1">
        <v>0</v>
      </c>
      <c r="AA136" s="59">
        <f t="shared" ref="AA136" si="50">SUM(T136:Z136)</f>
        <v>0</v>
      </c>
      <c r="AB136" s="58">
        <v>2020</v>
      </c>
      <c r="AD136" s="104"/>
      <c r="AE136" s="104"/>
    </row>
    <row r="137" spans="1:32" x14ac:dyDescent="0.3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265</v>
      </c>
      <c r="L137" s="54" t="s">
        <v>20</v>
      </c>
      <c r="M137" s="54" t="s">
        <v>18</v>
      </c>
      <c r="N137" s="54" t="s">
        <v>18</v>
      </c>
      <c r="O137" s="54" t="s">
        <v>21</v>
      </c>
      <c r="P137" s="54" t="s">
        <v>21</v>
      </c>
      <c r="Q137" s="54" t="s">
        <v>19</v>
      </c>
      <c r="R137" s="159"/>
      <c r="S137" s="152"/>
      <c r="T137" s="1">
        <v>0</v>
      </c>
      <c r="U137" s="1">
        <f>2865.5-1232.8-690</f>
        <v>942.7</v>
      </c>
      <c r="V137" s="1">
        <v>4437.5</v>
      </c>
      <c r="W137" s="1">
        <v>4265.6000000000004</v>
      </c>
      <c r="X137" s="1">
        <v>0</v>
      </c>
      <c r="Y137" s="1">
        <v>0</v>
      </c>
      <c r="Z137" s="1">
        <v>0</v>
      </c>
      <c r="AA137" s="59">
        <f t="shared" si="49"/>
        <v>9645.7999999999993</v>
      </c>
      <c r="AB137" s="58">
        <v>2021</v>
      </c>
      <c r="AD137" s="104"/>
      <c r="AE137" s="104"/>
    </row>
    <row r="138" spans="1:32" x14ac:dyDescent="0.3">
      <c r="A138" s="54" t="s">
        <v>18</v>
      </c>
      <c r="B138" s="54" t="s">
        <v>24</v>
      </c>
      <c r="C138" s="54" t="s">
        <v>22</v>
      </c>
      <c r="D138" s="54" t="s">
        <v>18</v>
      </c>
      <c r="E138" s="54" t="s">
        <v>21</v>
      </c>
      <c r="F138" s="54" t="s">
        <v>18</v>
      </c>
      <c r="G138" s="54" t="s">
        <v>21</v>
      </c>
      <c r="H138" s="54" t="s">
        <v>19</v>
      </c>
      <c r="I138" s="54" t="s">
        <v>24</v>
      </c>
      <c r="J138" s="54" t="s">
        <v>18</v>
      </c>
      <c r="K138" s="54" t="s">
        <v>265</v>
      </c>
      <c r="L138" s="54" t="s">
        <v>20</v>
      </c>
      <c r="M138" s="54" t="s">
        <v>21</v>
      </c>
      <c r="N138" s="54" t="s">
        <v>21</v>
      </c>
      <c r="O138" s="54" t="s">
        <v>21</v>
      </c>
      <c r="P138" s="54" t="s">
        <v>21</v>
      </c>
      <c r="Q138" s="54" t="s">
        <v>19</v>
      </c>
      <c r="R138" s="160"/>
      <c r="S138" s="153"/>
      <c r="T138" s="1">
        <v>0</v>
      </c>
      <c r="U138" s="1">
        <v>0</v>
      </c>
      <c r="V138" s="1">
        <v>8600</v>
      </c>
      <c r="W138" s="1">
        <v>0</v>
      </c>
      <c r="X138" s="1">
        <v>0</v>
      </c>
      <c r="Y138" s="1">
        <v>0</v>
      </c>
      <c r="Z138" s="1">
        <v>0</v>
      </c>
      <c r="AA138" s="59">
        <f t="shared" ref="AA138" si="51">SUM(T138:Z138)</f>
        <v>8600</v>
      </c>
      <c r="AB138" s="58">
        <v>2020</v>
      </c>
      <c r="AD138" s="104"/>
      <c r="AE138" s="104"/>
    </row>
    <row r="139" spans="1:32" ht="31.2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74</v>
      </c>
      <c r="S139" s="62" t="s">
        <v>38</v>
      </c>
      <c r="T139" s="2">
        <v>0</v>
      </c>
      <c r="U139" s="2">
        <v>6</v>
      </c>
      <c r="V139" s="44">
        <v>4</v>
      </c>
      <c r="W139" s="44">
        <v>2</v>
      </c>
      <c r="X139" s="2">
        <v>3</v>
      </c>
      <c r="Y139" s="2">
        <v>3</v>
      </c>
      <c r="Z139" s="2">
        <v>3</v>
      </c>
      <c r="AA139" s="49">
        <f>SUM(T139:Z139)</f>
        <v>21</v>
      </c>
      <c r="AB139" s="146">
        <v>2024</v>
      </c>
      <c r="AD139" s="104"/>
      <c r="AE139" s="104"/>
    </row>
    <row r="140" spans="1:32" ht="31.2" customHeight="1" x14ac:dyDescent="0.3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75</v>
      </c>
      <c r="S140" s="62" t="s">
        <v>52</v>
      </c>
      <c r="T140" s="4">
        <v>0</v>
      </c>
      <c r="U140" s="4">
        <v>58.4</v>
      </c>
      <c r="V140" s="3">
        <f>33.1+13.1</f>
        <v>46.2</v>
      </c>
      <c r="W140" s="3">
        <v>66.5</v>
      </c>
      <c r="X140" s="3">
        <v>56.7</v>
      </c>
      <c r="Y140" s="4">
        <v>64.3</v>
      </c>
      <c r="Z140" s="4">
        <v>64.3</v>
      </c>
      <c r="AA140" s="6">
        <f>SUM(T140:Z140)</f>
        <v>356.40000000000003</v>
      </c>
      <c r="AB140" s="41">
        <v>2024</v>
      </c>
      <c r="AD140" s="104"/>
      <c r="AE140" s="104"/>
    </row>
    <row r="141" spans="1:32" ht="31.2" x14ac:dyDescent="0.3">
      <c r="A141" s="54" t="s">
        <v>18</v>
      </c>
      <c r="B141" s="54" t="s">
        <v>18</v>
      </c>
      <c r="C141" s="54" t="s">
        <v>25</v>
      </c>
      <c r="D141" s="54" t="s">
        <v>18</v>
      </c>
      <c r="E141" s="54" t="s">
        <v>21</v>
      </c>
      <c r="F141" s="54" t="s">
        <v>18</v>
      </c>
      <c r="G141" s="54" t="s">
        <v>22</v>
      </c>
      <c r="H141" s="54" t="s">
        <v>19</v>
      </c>
      <c r="I141" s="54" t="s">
        <v>24</v>
      </c>
      <c r="J141" s="54" t="s">
        <v>18</v>
      </c>
      <c r="K141" s="54" t="s">
        <v>18</v>
      </c>
      <c r="L141" s="54" t="s">
        <v>19</v>
      </c>
      <c r="M141" s="54" t="s">
        <v>19</v>
      </c>
      <c r="N141" s="54" t="s">
        <v>19</v>
      </c>
      <c r="O141" s="54" t="s">
        <v>19</v>
      </c>
      <c r="P141" s="54" t="s">
        <v>177</v>
      </c>
      <c r="Q141" s="54" t="s">
        <v>18</v>
      </c>
      <c r="R141" s="68" t="s">
        <v>332</v>
      </c>
      <c r="S141" s="55" t="s">
        <v>0</v>
      </c>
      <c r="T141" s="59">
        <v>0</v>
      </c>
      <c r="U141" s="59">
        <f>103354.8-103354.8</f>
        <v>0</v>
      </c>
      <c r="V141" s="59">
        <v>1000</v>
      </c>
      <c r="W141" s="59">
        <v>0</v>
      </c>
      <c r="X141" s="59">
        <v>0</v>
      </c>
      <c r="Y141" s="59">
        <v>0</v>
      </c>
      <c r="Z141" s="59">
        <v>0</v>
      </c>
      <c r="AA141" s="59">
        <f>SUM(T141:Y141)</f>
        <v>1000</v>
      </c>
      <c r="AB141" s="58">
        <v>2020</v>
      </c>
      <c r="AD141" s="104"/>
      <c r="AE141" s="104"/>
    </row>
    <row r="142" spans="1:32" ht="31.2" x14ac:dyDescent="0.3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331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49">
        <f t="shared" ref="AA142" si="52">SUM(T142:Y142)</f>
        <v>1</v>
      </c>
      <c r="AB142" s="73">
        <v>2020</v>
      </c>
      <c r="AD142" s="104"/>
      <c r="AE142" s="104"/>
    </row>
    <row r="143" spans="1:32" ht="46.8" x14ac:dyDescent="0.3">
      <c r="A143" s="54"/>
      <c r="B143" s="54"/>
      <c r="C143" s="54"/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334</v>
      </c>
      <c r="S143" s="58" t="s">
        <v>0</v>
      </c>
      <c r="T143" s="59">
        <v>0</v>
      </c>
      <c r="U143" s="59">
        <f>103354.8-103354.8</f>
        <v>0</v>
      </c>
      <c r="V143" s="59">
        <v>0</v>
      </c>
      <c r="W143" s="59">
        <f t="shared" ref="W143:Z144" si="53">W145+W147+W149+W151</f>
        <v>4654.3999999999996</v>
      </c>
      <c r="X143" s="59">
        <f t="shared" si="53"/>
        <v>7000</v>
      </c>
      <c r="Y143" s="59">
        <f t="shared" si="53"/>
        <v>7000</v>
      </c>
      <c r="Z143" s="59">
        <f t="shared" si="53"/>
        <v>7000</v>
      </c>
      <c r="AA143" s="59">
        <f t="shared" ref="AA143:AA152" si="54">SUM(T143:Z143)</f>
        <v>25654.400000000001</v>
      </c>
      <c r="AB143" s="58">
        <v>2024</v>
      </c>
      <c r="AD143" s="104"/>
      <c r="AE143" s="104"/>
    </row>
    <row r="144" spans="1:32" ht="46.8" x14ac:dyDescent="0.3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349</v>
      </c>
      <c r="S144" s="41" t="s">
        <v>52</v>
      </c>
      <c r="T144" s="44">
        <v>0</v>
      </c>
      <c r="U144" s="44">
        <v>0</v>
      </c>
      <c r="V144" s="44">
        <v>0</v>
      </c>
      <c r="W144" s="3">
        <f t="shared" ref="W144:Y144" si="55">W146+W148+W150+W152</f>
        <v>1083.0999999999999</v>
      </c>
      <c r="X144" s="3">
        <f t="shared" si="55"/>
        <v>1153.5999999999999</v>
      </c>
      <c r="Y144" s="3">
        <f t="shared" si="55"/>
        <v>1153.5999999999999</v>
      </c>
      <c r="Z144" s="3">
        <f t="shared" si="53"/>
        <v>1153.5999999999999</v>
      </c>
      <c r="AA144" s="49">
        <f t="shared" si="54"/>
        <v>4543.8999999999996</v>
      </c>
      <c r="AB144" s="41">
        <v>2024</v>
      </c>
      <c r="AD144" s="104"/>
      <c r="AE144" s="104"/>
    </row>
    <row r="145" spans="1:31" ht="46.8" x14ac:dyDescent="0.3">
      <c r="A145" s="54" t="s">
        <v>18</v>
      </c>
      <c r="B145" s="54" t="s">
        <v>18</v>
      </c>
      <c r="C145" s="54" t="s">
        <v>22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68" t="s">
        <v>334</v>
      </c>
      <c r="S145" s="55" t="s">
        <v>0</v>
      </c>
      <c r="T145" s="1">
        <v>0</v>
      </c>
      <c r="U145" s="1">
        <f t="shared" ref="U145" si="56">103354.8-103354.8</f>
        <v>0</v>
      </c>
      <c r="V145" s="1">
        <v>0</v>
      </c>
      <c r="W145" s="1">
        <f>2000-1135.9</f>
        <v>864.09999999999991</v>
      </c>
      <c r="X145" s="1">
        <v>2000</v>
      </c>
      <c r="Y145" s="1">
        <v>2000</v>
      </c>
      <c r="Z145" s="1">
        <v>2000</v>
      </c>
      <c r="AA145" s="59">
        <f t="shared" si="54"/>
        <v>6864.1</v>
      </c>
      <c r="AB145" s="58">
        <v>2024</v>
      </c>
      <c r="AD145" s="104"/>
      <c r="AE145" s="104"/>
    </row>
    <row r="146" spans="1:31" ht="46.8" x14ac:dyDescent="0.3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74" t="s">
        <v>350</v>
      </c>
      <c r="S146" s="41" t="s">
        <v>52</v>
      </c>
      <c r="T146" s="44">
        <v>0</v>
      </c>
      <c r="U146" s="44">
        <v>0</v>
      </c>
      <c r="V146" s="44">
        <v>0</v>
      </c>
      <c r="W146" s="3">
        <v>318.5</v>
      </c>
      <c r="X146" s="3">
        <v>312</v>
      </c>
      <c r="Y146" s="3">
        <v>312</v>
      </c>
      <c r="Z146" s="3">
        <v>312</v>
      </c>
      <c r="AA146" s="6">
        <f t="shared" si="54"/>
        <v>1254.5</v>
      </c>
      <c r="AB146" s="41">
        <v>2024</v>
      </c>
      <c r="AD146" s="104"/>
      <c r="AE146" s="104"/>
    </row>
    <row r="147" spans="1:31" ht="46.8" x14ac:dyDescent="0.3">
      <c r="A147" s="54" t="s">
        <v>18</v>
      </c>
      <c r="B147" s="54" t="s">
        <v>18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68" t="s">
        <v>334</v>
      </c>
      <c r="S147" s="55" t="s">
        <v>0</v>
      </c>
      <c r="T147" s="1">
        <v>0</v>
      </c>
      <c r="U147" s="1">
        <f t="shared" ref="U147" si="57">103354.8-103354.8</f>
        <v>0</v>
      </c>
      <c r="V147" s="1">
        <v>0</v>
      </c>
      <c r="W147" s="1">
        <f>1500-57.9</f>
        <v>1442.1</v>
      </c>
      <c r="X147" s="1">
        <v>1500</v>
      </c>
      <c r="Y147" s="1">
        <v>1500</v>
      </c>
      <c r="Z147" s="1">
        <v>1500</v>
      </c>
      <c r="AA147" s="59">
        <f t="shared" si="54"/>
        <v>5942.1</v>
      </c>
      <c r="AB147" s="58">
        <v>2024</v>
      </c>
      <c r="AD147" s="104"/>
      <c r="AE147" s="104"/>
    </row>
    <row r="148" spans="1:31" ht="46.8" x14ac:dyDescent="0.3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351</v>
      </c>
      <c r="S148" s="41" t="s">
        <v>52</v>
      </c>
      <c r="T148" s="44">
        <v>0</v>
      </c>
      <c r="U148" s="44">
        <v>0</v>
      </c>
      <c r="V148" s="44">
        <v>0</v>
      </c>
      <c r="W148" s="3">
        <v>295.60000000000002</v>
      </c>
      <c r="X148" s="3">
        <v>295.60000000000002</v>
      </c>
      <c r="Y148" s="3">
        <v>295.60000000000002</v>
      </c>
      <c r="Z148" s="3">
        <v>295.60000000000002</v>
      </c>
      <c r="AA148" s="6">
        <f t="shared" si="54"/>
        <v>1182.4000000000001</v>
      </c>
      <c r="AB148" s="41">
        <v>2024</v>
      </c>
      <c r="AD148" s="104"/>
      <c r="AE148" s="104"/>
    </row>
    <row r="149" spans="1:31" ht="46.8" x14ac:dyDescent="0.3">
      <c r="A149" s="54" t="s">
        <v>18</v>
      </c>
      <c r="B149" s="54" t="s">
        <v>18</v>
      </c>
      <c r="C149" s="54" t="s">
        <v>21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18</v>
      </c>
      <c r="L149" s="54" t="s">
        <v>19</v>
      </c>
      <c r="M149" s="54" t="s">
        <v>43</v>
      </c>
      <c r="N149" s="54" t="s">
        <v>43</v>
      </c>
      <c r="O149" s="54" t="s">
        <v>43</v>
      </c>
      <c r="P149" s="54" t="s">
        <v>43</v>
      </c>
      <c r="Q149" s="54" t="s">
        <v>43</v>
      </c>
      <c r="R149" s="68" t="s">
        <v>334</v>
      </c>
      <c r="S149" s="55" t="s">
        <v>0</v>
      </c>
      <c r="T149" s="1">
        <v>0</v>
      </c>
      <c r="U149" s="1">
        <f t="shared" ref="U149" si="58">103354.8-103354.8</f>
        <v>0</v>
      </c>
      <c r="V149" s="1">
        <v>0</v>
      </c>
      <c r="W149" s="1">
        <f>2000-26.3-155-153</f>
        <v>1665.7</v>
      </c>
      <c r="X149" s="1">
        <v>2000</v>
      </c>
      <c r="Y149" s="1">
        <v>2000</v>
      </c>
      <c r="Z149" s="1">
        <v>2000</v>
      </c>
      <c r="AA149" s="59">
        <f t="shared" si="54"/>
        <v>7665.7</v>
      </c>
      <c r="AB149" s="58">
        <v>2024</v>
      </c>
      <c r="AD149" s="104"/>
      <c r="AE149" s="104"/>
    </row>
    <row r="150" spans="1:31" ht="46.8" x14ac:dyDescent="0.3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352</v>
      </c>
      <c r="S150" s="41" t="s">
        <v>52</v>
      </c>
      <c r="T150" s="44">
        <v>0</v>
      </c>
      <c r="U150" s="44">
        <v>0</v>
      </c>
      <c r="V150" s="44">
        <v>0</v>
      </c>
      <c r="W150" s="3">
        <v>235</v>
      </c>
      <c r="X150" s="3">
        <v>312</v>
      </c>
      <c r="Y150" s="3">
        <v>312</v>
      </c>
      <c r="Z150" s="3">
        <v>312</v>
      </c>
      <c r="AA150" s="6">
        <f t="shared" si="54"/>
        <v>1171</v>
      </c>
      <c r="AB150" s="41">
        <v>2024</v>
      </c>
      <c r="AD150" s="104"/>
      <c r="AE150" s="104"/>
    </row>
    <row r="151" spans="1:31" ht="46.8" x14ac:dyDescent="0.3">
      <c r="A151" s="54" t="s">
        <v>18</v>
      </c>
      <c r="B151" s="54" t="s">
        <v>18</v>
      </c>
      <c r="C151" s="54" t="s">
        <v>25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68" t="s">
        <v>334</v>
      </c>
      <c r="S151" s="55" t="s">
        <v>0</v>
      </c>
      <c r="T151" s="1">
        <v>0</v>
      </c>
      <c r="U151" s="1">
        <f t="shared" ref="U151" si="59">103354.8-103354.8</f>
        <v>0</v>
      </c>
      <c r="V151" s="1">
        <v>0</v>
      </c>
      <c r="W151" s="1">
        <f>1500-817.5</f>
        <v>682.5</v>
      </c>
      <c r="X151" s="1">
        <v>1500</v>
      </c>
      <c r="Y151" s="1">
        <v>1500</v>
      </c>
      <c r="Z151" s="1">
        <v>1500</v>
      </c>
      <c r="AA151" s="59">
        <f t="shared" si="54"/>
        <v>5182.5</v>
      </c>
      <c r="AB151" s="58">
        <v>2024</v>
      </c>
      <c r="AD151" s="104"/>
      <c r="AE151" s="104"/>
    </row>
    <row r="152" spans="1:31" ht="46.8" x14ac:dyDescent="0.3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353</v>
      </c>
      <c r="S152" s="41" t="s">
        <v>52</v>
      </c>
      <c r="T152" s="44">
        <v>0</v>
      </c>
      <c r="U152" s="44">
        <v>0</v>
      </c>
      <c r="V152" s="44">
        <v>0</v>
      </c>
      <c r="W152" s="3">
        <v>234</v>
      </c>
      <c r="X152" s="3">
        <v>234</v>
      </c>
      <c r="Y152" s="3">
        <v>234</v>
      </c>
      <c r="Z152" s="3">
        <v>234</v>
      </c>
      <c r="AA152" s="6">
        <f t="shared" si="54"/>
        <v>936</v>
      </c>
      <c r="AB152" s="41">
        <v>2024</v>
      </c>
      <c r="AD152" s="104"/>
      <c r="AE152" s="104"/>
    </row>
    <row r="153" spans="1:31" ht="78" x14ac:dyDescent="0.3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49" t="s">
        <v>364</v>
      </c>
      <c r="S153" s="55" t="s">
        <v>41</v>
      </c>
      <c r="T153" s="56">
        <v>0</v>
      </c>
      <c r="U153" s="56">
        <v>0</v>
      </c>
      <c r="V153" s="56">
        <v>0</v>
      </c>
      <c r="W153" s="56">
        <v>1</v>
      </c>
      <c r="X153" s="56">
        <v>1</v>
      </c>
      <c r="Y153" s="56">
        <v>1</v>
      </c>
      <c r="Z153" s="56">
        <v>1</v>
      </c>
      <c r="AA153" s="57">
        <v>1</v>
      </c>
      <c r="AB153" s="58">
        <v>2024</v>
      </c>
      <c r="AD153" s="104"/>
      <c r="AE153" s="104"/>
    </row>
    <row r="154" spans="1:31" ht="81.599999999999994" customHeight="1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365</v>
      </c>
      <c r="S154" s="62" t="s">
        <v>38</v>
      </c>
      <c r="T154" s="44">
        <v>0</v>
      </c>
      <c r="U154" s="44">
        <v>0</v>
      </c>
      <c r="V154" s="44">
        <v>0</v>
      </c>
      <c r="W154" s="44">
        <v>4</v>
      </c>
      <c r="X154" s="44">
        <v>4</v>
      </c>
      <c r="Y154" s="44">
        <v>4</v>
      </c>
      <c r="Z154" s="44">
        <v>4</v>
      </c>
      <c r="AA154" s="49">
        <f>SUM(T154:Z154)</f>
        <v>16</v>
      </c>
      <c r="AB154" s="41">
        <v>2024</v>
      </c>
      <c r="AD154" s="104"/>
      <c r="AE154" s="104"/>
    </row>
    <row r="155" spans="1:31" ht="78" x14ac:dyDescent="0.3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49" t="s">
        <v>366</v>
      </c>
      <c r="S155" s="55" t="s">
        <v>41</v>
      </c>
      <c r="T155" s="56">
        <v>0</v>
      </c>
      <c r="U155" s="56">
        <v>0</v>
      </c>
      <c r="V155" s="56">
        <v>0</v>
      </c>
      <c r="W155" s="56">
        <v>1</v>
      </c>
      <c r="X155" s="56">
        <v>1</v>
      </c>
      <c r="Y155" s="56">
        <v>1</v>
      </c>
      <c r="Z155" s="56">
        <v>1</v>
      </c>
      <c r="AA155" s="57">
        <v>1</v>
      </c>
      <c r="AB155" s="58">
        <v>2024</v>
      </c>
      <c r="AD155" s="104"/>
      <c r="AE155" s="104"/>
    </row>
    <row r="156" spans="1:31" ht="78" x14ac:dyDescent="0.3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371</v>
      </c>
      <c r="S156" s="62" t="s">
        <v>38</v>
      </c>
      <c r="T156" s="44">
        <v>0</v>
      </c>
      <c r="U156" s="44">
        <v>0</v>
      </c>
      <c r="V156" s="44">
        <v>0</v>
      </c>
      <c r="W156" s="44">
        <v>12</v>
      </c>
      <c r="X156" s="44">
        <v>12</v>
      </c>
      <c r="Y156" s="44">
        <v>12</v>
      </c>
      <c r="Z156" s="44">
        <v>12</v>
      </c>
      <c r="AA156" s="49">
        <f>SUM(T156:Z156)</f>
        <v>48</v>
      </c>
      <c r="AB156" s="41">
        <v>2024</v>
      </c>
      <c r="AD156" s="104"/>
      <c r="AE156" s="104"/>
    </row>
    <row r="157" spans="1:31" s="51" customFormat="1" ht="31.2" x14ac:dyDescent="0.3">
      <c r="A157" s="46"/>
      <c r="B157" s="46"/>
      <c r="C157" s="46"/>
      <c r="D157" s="46"/>
      <c r="E157" s="46"/>
      <c r="F157" s="46"/>
      <c r="G157" s="46"/>
      <c r="H157" s="46" t="s">
        <v>19</v>
      </c>
      <c r="I157" s="46" t="s">
        <v>24</v>
      </c>
      <c r="J157" s="46" t="s">
        <v>18</v>
      </c>
      <c r="K157" s="46" t="s">
        <v>18</v>
      </c>
      <c r="L157" s="46" t="s">
        <v>20</v>
      </c>
      <c r="M157" s="46" t="s">
        <v>18</v>
      </c>
      <c r="N157" s="46" t="s">
        <v>18</v>
      </c>
      <c r="O157" s="46" t="s">
        <v>18</v>
      </c>
      <c r="P157" s="46" t="s">
        <v>18</v>
      </c>
      <c r="Q157" s="46" t="s">
        <v>18</v>
      </c>
      <c r="R157" s="75" t="s">
        <v>56</v>
      </c>
      <c r="S157" s="142" t="s">
        <v>0</v>
      </c>
      <c r="T157" s="141">
        <f>T180+T223+T166+T491</f>
        <v>147061.215</v>
      </c>
      <c r="U157" s="141">
        <f>U180+U223+U166+U491</f>
        <v>108807.59999999998</v>
      </c>
      <c r="V157" s="141">
        <f>V180+V223+V166+V491</f>
        <v>7655.1</v>
      </c>
      <c r="W157" s="141">
        <f>W180+W223+W166+W491+W511</f>
        <v>33187.300000000003</v>
      </c>
      <c r="X157" s="141">
        <f>X180+X223+X166+X491+X511</f>
        <v>10000</v>
      </c>
      <c r="Y157" s="141">
        <f>Y180+Y223+Y166+Y491+Y511</f>
        <v>10000</v>
      </c>
      <c r="Z157" s="141">
        <f>Z180+Z223+Z166+Z491+Z511</f>
        <v>18990.3</v>
      </c>
      <c r="AA157" s="141">
        <f>SUM(T157:Z157)</f>
        <v>335701.51499999996</v>
      </c>
      <c r="AB157" s="142">
        <v>2024</v>
      </c>
      <c r="AC157" s="111"/>
      <c r="AD157" s="50"/>
    </row>
    <row r="158" spans="1:31" s="51" customFormat="1" ht="31.2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237</v>
      </c>
      <c r="S158" s="41" t="s">
        <v>38</v>
      </c>
      <c r="T158" s="2">
        <f>T492+T185+T225</f>
        <v>58</v>
      </c>
      <c r="U158" s="44">
        <f>U492+U185+U225</f>
        <v>42</v>
      </c>
      <c r="V158" s="2">
        <f>V492+V185+V225</f>
        <v>7</v>
      </c>
      <c r="W158" s="2">
        <f>W492+W185+W225+W513</f>
        <v>17</v>
      </c>
      <c r="X158" s="2">
        <f>X492+X185+X225+X513</f>
        <v>6</v>
      </c>
      <c r="Y158" s="2">
        <f>Y492+Y185+Y225+Y513</f>
        <v>10</v>
      </c>
      <c r="Z158" s="2">
        <f>Z492+Z185+Z225+Z513</f>
        <v>37</v>
      </c>
      <c r="AA158" s="45">
        <f>SUM(T158:Z158)</f>
        <v>177</v>
      </c>
      <c r="AB158" s="41">
        <v>2024</v>
      </c>
      <c r="AC158" s="91"/>
      <c r="AD158" s="50"/>
    </row>
    <row r="159" spans="1:31" s="51" customFormat="1" ht="31.2" x14ac:dyDescent="0.3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238</v>
      </c>
      <c r="S159" s="41" t="s">
        <v>52</v>
      </c>
      <c r="T159" s="4">
        <f>T492+T183+T224</f>
        <v>63</v>
      </c>
      <c r="U159" s="4">
        <f>U493+U183+U224</f>
        <v>42.2</v>
      </c>
      <c r="V159" s="4">
        <f>V493+V183+V224</f>
        <v>1.7000000000000002</v>
      </c>
      <c r="W159" s="4">
        <f>W493+W183+W224+W512</f>
        <v>9</v>
      </c>
      <c r="X159" s="4">
        <f>X493+X183+X224+X512</f>
        <v>15.6</v>
      </c>
      <c r="Y159" s="4">
        <f>Y493+Y183+Y224+Y512</f>
        <v>10</v>
      </c>
      <c r="Z159" s="4">
        <f>Z493+Z183+Z224+Z512</f>
        <v>65.2</v>
      </c>
      <c r="AA159" s="5">
        <f>SUM(T159:Z159)</f>
        <v>206.7</v>
      </c>
      <c r="AB159" s="41">
        <v>2024</v>
      </c>
      <c r="AC159" s="111"/>
      <c r="AD159" s="50"/>
    </row>
    <row r="160" spans="1:31" s="8" customFormat="1" ht="46.8" x14ac:dyDescent="0.3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61" t="s">
        <v>129</v>
      </c>
      <c r="S160" s="146" t="s">
        <v>9</v>
      </c>
      <c r="T160" s="3">
        <f>((4338+39.6)+63)/13987*100</f>
        <v>31.748051762350755</v>
      </c>
      <c r="U160" s="3">
        <f>((4338+39.6)+T159+U159)/13987*100</f>
        <v>32.049760491885323</v>
      </c>
      <c r="V160" s="3">
        <f>((4338+39.6)+U159+V159+T159)/13987*100</f>
        <v>32.061914635018226</v>
      </c>
      <c r="W160" s="3">
        <f>((4338+39.6)+T159+V159+W159+U159)/13987*100</f>
        <v>32.126260098663046</v>
      </c>
      <c r="X160" s="3">
        <f>((4338+39.6)+T159+U159+W159+X159+V159)/13987*100</f>
        <v>32.23779223564739</v>
      </c>
      <c r="Y160" s="3">
        <f>((4338+39.6)+T159+U159+V159+X159+Y159+W159)/13987*100</f>
        <v>32.309287195252736</v>
      </c>
      <c r="Z160" s="3">
        <f>((4338+39.6)+T159+U159+V159+W159+Y159+Z159+X159)/13987*100</f>
        <v>32.775434331879602</v>
      </c>
      <c r="AA160" s="5">
        <f>Z160</f>
        <v>32.775434331879602</v>
      </c>
      <c r="AB160" s="41">
        <v>2024</v>
      </c>
      <c r="AC160" s="103"/>
      <c r="AD160" s="60"/>
    </row>
    <row r="161" spans="1:31" ht="46.8" x14ac:dyDescent="0.3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 t="s">
        <v>130</v>
      </c>
      <c r="S161" s="146" t="s">
        <v>9</v>
      </c>
      <c r="T161" s="3">
        <f>30/58*100</f>
        <v>51.724137931034484</v>
      </c>
      <c r="U161" s="3">
        <f>22/42*100</f>
        <v>52.380952380952387</v>
      </c>
      <c r="V161" s="3">
        <f>7/7*100</f>
        <v>100</v>
      </c>
      <c r="W161" s="4">
        <v>91</v>
      </c>
      <c r="X161" s="4">
        <v>91</v>
      </c>
      <c r="Y161" s="4">
        <v>91</v>
      </c>
      <c r="Z161" s="4">
        <v>91</v>
      </c>
      <c r="AA161" s="5">
        <v>91</v>
      </c>
      <c r="AB161" s="41">
        <v>2024</v>
      </c>
      <c r="AC161" s="111"/>
    </row>
    <row r="162" spans="1:31" ht="46.95" customHeight="1" x14ac:dyDescent="0.3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 t="s">
        <v>262</v>
      </c>
      <c r="S162" s="146" t="s">
        <v>263</v>
      </c>
      <c r="T162" s="4">
        <v>0</v>
      </c>
      <c r="U162" s="4">
        <v>0</v>
      </c>
      <c r="V162" s="4">
        <v>0</v>
      </c>
      <c r="W162" s="4">
        <v>23.7</v>
      </c>
      <c r="X162" s="4">
        <v>23.7</v>
      </c>
      <c r="Y162" s="4">
        <v>23.7</v>
      </c>
      <c r="Z162" s="4">
        <v>23.7</v>
      </c>
      <c r="AA162" s="5">
        <v>23.7</v>
      </c>
      <c r="AB162" s="41">
        <v>2024</v>
      </c>
      <c r="AC162" s="111"/>
    </row>
    <row r="163" spans="1:31" s="51" customFormat="1" ht="31.2" x14ac:dyDescent="0.3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131</v>
      </c>
      <c r="S163" s="41" t="s">
        <v>9</v>
      </c>
      <c r="T163" s="3">
        <f>27.6/336.9*100</f>
        <v>8.1923419412288521</v>
      </c>
      <c r="U163" s="3">
        <f>11.3/336.9*100</f>
        <v>3.3541110121697839</v>
      </c>
      <c r="V163" s="3">
        <f>2/336.9*100</f>
        <v>0.59364796675571385</v>
      </c>
      <c r="W163" s="3">
        <v>43.1</v>
      </c>
      <c r="X163" s="3">
        <v>43.1</v>
      </c>
      <c r="Y163" s="3">
        <v>43.1</v>
      </c>
      <c r="Z163" s="3">
        <v>43.1</v>
      </c>
      <c r="AA163" s="6">
        <v>43.1</v>
      </c>
      <c r="AB163" s="41">
        <v>2024</v>
      </c>
      <c r="AC163" s="111"/>
      <c r="AD163" s="50"/>
    </row>
    <row r="164" spans="1:31" s="51" customFormat="1" ht="46.8" x14ac:dyDescent="0.3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49" t="s">
        <v>132</v>
      </c>
      <c r="S164" s="55" t="s">
        <v>41</v>
      </c>
      <c r="T164" s="56">
        <v>0</v>
      </c>
      <c r="U164" s="56">
        <v>0</v>
      </c>
      <c r="V164" s="56">
        <v>0</v>
      </c>
      <c r="W164" s="56">
        <v>1</v>
      </c>
      <c r="X164" s="56">
        <v>1</v>
      </c>
      <c r="Y164" s="56">
        <v>1</v>
      </c>
      <c r="Z164" s="56">
        <v>1</v>
      </c>
      <c r="AA164" s="57">
        <v>1</v>
      </c>
      <c r="AB164" s="58">
        <v>2024</v>
      </c>
      <c r="AC164" s="111"/>
      <c r="AD164" s="50"/>
    </row>
    <row r="165" spans="1:31" s="51" customFormat="1" ht="31.2" x14ac:dyDescent="0.3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72</v>
      </c>
      <c r="S165" s="41" t="s">
        <v>38</v>
      </c>
      <c r="T165" s="44">
        <v>0</v>
      </c>
      <c r="U165" s="44">
        <v>0</v>
      </c>
      <c r="V165" s="44">
        <f t="shared" ref="V165:Z165" si="60">V492</f>
        <v>0</v>
      </c>
      <c r="W165" s="44">
        <v>1</v>
      </c>
      <c r="X165" s="44">
        <v>5</v>
      </c>
      <c r="Y165" s="44">
        <f t="shared" si="60"/>
        <v>5</v>
      </c>
      <c r="Z165" s="44">
        <f t="shared" si="60"/>
        <v>30</v>
      </c>
      <c r="AA165" s="49">
        <f>SUM(T165:Z165)</f>
        <v>41</v>
      </c>
      <c r="AB165" s="41">
        <v>2024</v>
      </c>
      <c r="AC165" s="117"/>
      <c r="AD165" s="113"/>
      <c r="AE165" s="113"/>
    </row>
    <row r="166" spans="1:31" s="51" customFormat="1" ht="31.2" x14ac:dyDescent="0.3">
      <c r="A166" s="54"/>
      <c r="B166" s="54"/>
      <c r="C166" s="54"/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20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149" t="s">
        <v>266</v>
      </c>
      <c r="S166" s="58" t="s">
        <v>0</v>
      </c>
      <c r="T166" s="59">
        <f t="shared" ref="T166:Y166" si="61">T168+T170+T172+T174</f>
        <v>1307</v>
      </c>
      <c r="U166" s="59">
        <f t="shared" si="61"/>
        <v>0</v>
      </c>
      <c r="V166" s="59">
        <f t="shared" si="61"/>
        <v>0</v>
      </c>
      <c r="W166" s="59">
        <f t="shared" si="61"/>
        <v>0</v>
      </c>
      <c r="X166" s="59">
        <f t="shared" si="61"/>
        <v>0</v>
      </c>
      <c r="Y166" s="59">
        <f t="shared" si="61"/>
        <v>0</v>
      </c>
      <c r="Z166" s="59">
        <f t="shared" ref="Z166" si="62">Z168+Z170+Z172+Z174</f>
        <v>0</v>
      </c>
      <c r="AA166" s="59">
        <f>SUM(T166:Y166)</f>
        <v>1307</v>
      </c>
      <c r="AB166" s="58">
        <v>2018</v>
      </c>
      <c r="AC166" s="111"/>
      <c r="AD166" s="113"/>
      <c r="AE166" s="113"/>
    </row>
    <row r="167" spans="1:31" s="51" customFormat="1" ht="46.8" x14ac:dyDescent="0.3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78" t="s">
        <v>279</v>
      </c>
      <c r="S167" s="52" t="s">
        <v>38</v>
      </c>
      <c r="T167" s="44">
        <f>T169+T171+T173+T175</f>
        <v>39</v>
      </c>
      <c r="U167" s="44">
        <f t="shared" ref="U167:Y167" si="63">U169+U171+U173+U175</f>
        <v>0</v>
      </c>
      <c r="V167" s="44">
        <f t="shared" si="63"/>
        <v>0</v>
      </c>
      <c r="W167" s="44">
        <f t="shared" si="63"/>
        <v>0</v>
      </c>
      <c r="X167" s="44">
        <f t="shared" si="63"/>
        <v>0</v>
      </c>
      <c r="Y167" s="44">
        <f t="shared" si="63"/>
        <v>0</v>
      </c>
      <c r="Z167" s="44">
        <f t="shared" ref="Z167" si="64">Z169+Z171+Z173+Z175</f>
        <v>0</v>
      </c>
      <c r="AA167" s="49">
        <f>T167</f>
        <v>39</v>
      </c>
      <c r="AB167" s="41">
        <v>2018</v>
      </c>
      <c r="AC167" s="111"/>
      <c r="AD167" s="113"/>
      <c r="AE167" s="113"/>
    </row>
    <row r="168" spans="1:31" s="51" customFormat="1" ht="30" customHeight="1" x14ac:dyDescent="0.3">
      <c r="A168" s="54" t="s">
        <v>18</v>
      </c>
      <c r="B168" s="54" t="s">
        <v>18</v>
      </c>
      <c r="C168" s="54" t="s">
        <v>22</v>
      </c>
      <c r="D168" s="54" t="s">
        <v>18</v>
      </c>
      <c r="E168" s="54" t="s">
        <v>21</v>
      </c>
      <c r="F168" s="54" t="s">
        <v>18</v>
      </c>
      <c r="G168" s="54" t="s">
        <v>22</v>
      </c>
      <c r="H168" s="54" t="s">
        <v>19</v>
      </c>
      <c r="I168" s="54" t="s">
        <v>24</v>
      </c>
      <c r="J168" s="54" t="s">
        <v>18</v>
      </c>
      <c r="K168" s="54" t="s">
        <v>18</v>
      </c>
      <c r="L168" s="54" t="s">
        <v>20</v>
      </c>
      <c r="M168" s="54" t="s">
        <v>43</v>
      </c>
      <c r="N168" s="54" t="s">
        <v>43</v>
      </c>
      <c r="O168" s="54" t="s">
        <v>43</v>
      </c>
      <c r="P168" s="54" t="s">
        <v>43</v>
      </c>
      <c r="Q168" s="54" t="s">
        <v>43</v>
      </c>
      <c r="R168" s="149" t="s">
        <v>266</v>
      </c>
      <c r="S168" s="55" t="s">
        <v>0</v>
      </c>
      <c r="T168" s="1">
        <v>474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59">
        <f>SUM(T168:Y168)</f>
        <v>474</v>
      </c>
      <c r="AB168" s="58">
        <v>2018</v>
      </c>
      <c r="AC168" s="121"/>
      <c r="AD168" s="114"/>
      <c r="AE168" s="114"/>
    </row>
    <row r="169" spans="1:31" s="51" customFormat="1" ht="62.4" x14ac:dyDescent="0.3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280</v>
      </c>
      <c r="S169" s="52" t="s">
        <v>38</v>
      </c>
      <c r="T169" s="44">
        <v>15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9">
        <f>T169+U169+V169+W169+X169</f>
        <v>15</v>
      </c>
      <c r="AB169" s="41">
        <v>2018</v>
      </c>
      <c r="AC169" s="111"/>
      <c r="AD169" s="50"/>
    </row>
    <row r="170" spans="1:31" s="136" customFormat="1" ht="31.2" x14ac:dyDescent="0.3">
      <c r="A170" s="54" t="s">
        <v>18</v>
      </c>
      <c r="B170" s="54" t="s">
        <v>18</v>
      </c>
      <c r="C170" s="54" t="s">
        <v>24</v>
      </c>
      <c r="D170" s="54" t="s">
        <v>18</v>
      </c>
      <c r="E170" s="54" t="s">
        <v>21</v>
      </c>
      <c r="F170" s="54" t="s">
        <v>18</v>
      </c>
      <c r="G170" s="54" t="s">
        <v>22</v>
      </c>
      <c r="H170" s="54" t="s">
        <v>19</v>
      </c>
      <c r="I170" s="54" t="s">
        <v>24</v>
      </c>
      <c r="J170" s="54" t="s">
        <v>18</v>
      </c>
      <c r="K170" s="54" t="s">
        <v>18</v>
      </c>
      <c r="L170" s="54" t="s">
        <v>20</v>
      </c>
      <c r="M170" s="54" t="s">
        <v>43</v>
      </c>
      <c r="N170" s="54" t="s">
        <v>43</v>
      </c>
      <c r="O170" s="54" t="s">
        <v>43</v>
      </c>
      <c r="P170" s="54" t="s">
        <v>43</v>
      </c>
      <c r="Q170" s="54" t="s">
        <v>43</v>
      </c>
      <c r="R170" s="149" t="s">
        <v>266</v>
      </c>
      <c r="S170" s="55" t="s">
        <v>0</v>
      </c>
      <c r="T170" s="1">
        <f>0+126+400-100</f>
        <v>426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59">
        <f t="shared" ref="AA170:AA175" si="65">SUM(T170:Y170)</f>
        <v>426</v>
      </c>
      <c r="AB170" s="58">
        <v>2018</v>
      </c>
      <c r="AC170" s="134"/>
      <c r="AD170" s="135"/>
      <c r="AE170" s="135"/>
    </row>
    <row r="171" spans="1:31" s="51" customFormat="1" ht="62.4" x14ac:dyDescent="0.3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281</v>
      </c>
      <c r="S171" s="52" t="s">
        <v>38</v>
      </c>
      <c r="T171" s="44">
        <v>4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9">
        <f t="shared" si="65"/>
        <v>4</v>
      </c>
      <c r="AB171" s="41">
        <v>2018</v>
      </c>
      <c r="AC171" s="112"/>
      <c r="AD171" s="113"/>
    </row>
    <row r="172" spans="1:31" s="51" customFormat="1" ht="31.2" x14ac:dyDescent="0.3">
      <c r="A172" s="54" t="s">
        <v>18</v>
      </c>
      <c r="B172" s="54" t="s">
        <v>18</v>
      </c>
      <c r="C172" s="54" t="s">
        <v>21</v>
      </c>
      <c r="D172" s="54" t="s">
        <v>18</v>
      </c>
      <c r="E172" s="54" t="s">
        <v>21</v>
      </c>
      <c r="F172" s="54" t="s">
        <v>18</v>
      </c>
      <c r="G172" s="54" t="s">
        <v>22</v>
      </c>
      <c r="H172" s="54" t="s">
        <v>19</v>
      </c>
      <c r="I172" s="54" t="s">
        <v>24</v>
      </c>
      <c r="J172" s="54" t="s">
        <v>18</v>
      </c>
      <c r="K172" s="54" t="s">
        <v>18</v>
      </c>
      <c r="L172" s="54" t="s">
        <v>20</v>
      </c>
      <c r="M172" s="54" t="s">
        <v>43</v>
      </c>
      <c r="N172" s="54" t="s">
        <v>43</v>
      </c>
      <c r="O172" s="54" t="s">
        <v>43</v>
      </c>
      <c r="P172" s="54" t="s">
        <v>43</v>
      </c>
      <c r="Q172" s="54" t="s">
        <v>43</v>
      </c>
      <c r="R172" s="149" t="s">
        <v>266</v>
      </c>
      <c r="S172" s="55" t="s">
        <v>0</v>
      </c>
      <c r="T172" s="1">
        <v>250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59">
        <f t="shared" si="65"/>
        <v>250</v>
      </c>
      <c r="AB172" s="58">
        <v>2018</v>
      </c>
      <c r="AC172" s="33"/>
      <c r="AD172" s="113"/>
      <c r="AE172" s="113"/>
    </row>
    <row r="173" spans="1:31" s="51" customFormat="1" ht="62.4" x14ac:dyDescent="0.3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282</v>
      </c>
      <c r="S173" s="52" t="s">
        <v>38</v>
      </c>
      <c r="T173" s="44">
        <v>16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9">
        <f t="shared" si="65"/>
        <v>16</v>
      </c>
      <c r="AB173" s="41">
        <v>2018</v>
      </c>
      <c r="AC173" s="111"/>
      <c r="AD173" s="50"/>
    </row>
    <row r="174" spans="1:31" s="51" customFormat="1" ht="31.2" x14ac:dyDescent="0.3">
      <c r="A174" s="54" t="s">
        <v>18</v>
      </c>
      <c r="B174" s="54" t="s">
        <v>18</v>
      </c>
      <c r="C174" s="54" t="s">
        <v>25</v>
      </c>
      <c r="D174" s="54" t="s">
        <v>18</v>
      </c>
      <c r="E174" s="54" t="s">
        <v>21</v>
      </c>
      <c r="F174" s="54" t="s">
        <v>18</v>
      </c>
      <c r="G174" s="54" t="s">
        <v>22</v>
      </c>
      <c r="H174" s="54" t="s">
        <v>19</v>
      </c>
      <c r="I174" s="54" t="s">
        <v>24</v>
      </c>
      <c r="J174" s="54" t="s">
        <v>18</v>
      </c>
      <c r="K174" s="54" t="s">
        <v>18</v>
      </c>
      <c r="L174" s="54" t="s">
        <v>20</v>
      </c>
      <c r="M174" s="54" t="s">
        <v>43</v>
      </c>
      <c r="N174" s="54" t="s">
        <v>43</v>
      </c>
      <c r="O174" s="54" t="s">
        <v>43</v>
      </c>
      <c r="P174" s="54" t="s">
        <v>43</v>
      </c>
      <c r="Q174" s="54" t="s">
        <v>43</v>
      </c>
      <c r="R174" s="149" t="s">
        <v>266</v>
      </c>
      <c r="S174" s="55" t="s">
        <v>0</v>
      </c>
      <c r="T174" s="1">
        <f>480-430+100+55-48</f>
        <v>157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59">
        <f t="shared" si="65"/>
        <v>157</v>
      </c>
      <c r="AB174" s="58">
        <v>2018</v>
      </c>
      <c r="AC174" s="33"/>
      <c r="AD174" s="113"/>
      <c r="AE174" s="113"/>
    </row>
    <row r="175" spans="1:31" s="51" customFormat="1" ht="62.4" x14ac:dyDescent="0.3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283</v>
      </c>
      <c r="S175" s="52" t="s">
        <v>38</v>
      </c>
      <c r="T175" s="44">
        <v>4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9">
        <f t="shared" si="65"/>
        <v>4</v>
      </c>
      <c r="AB175" s="41">
        <v>2018</v>
      </c>
      <c r="AC175" s="111"/>
      <c r="AD175" s="50"/>
    </row>
    <row r="176" spans="1:31" s="51" customFormat="1" ht="46.8" x14ac:dyDescent="0.3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49" t="s">
        <v>135</v>
      </c>
      <c r="S176" s="55" t="s">
        <v>41</v>
      </c>
      <c r="T176" s="56">
        <v>0</v>
      </c>
      <c r="U176" s="56">
        <v>0</v>
      </c>
      <c r="V176" s="56">
        <v>0</v>
      </c>
      <c r="W176" s="56">
        <v>0</v>
      </c>
      <c r="X176" s="56">
        <v>1</v>
      </c>
      <c r="Y176" s="56">
        <v>1</v>
      </c>
      <c r="Z176" s="56">
        <v>1</v>
      </c>
      <c r="AA176" s="57">
        <v>1</v>
      </c>
      <c r="AB176" s="58">
        <v>2024</v>
      </c>
      <c r="AC176" s="111"/>
      <c r="AD176" s="50"/>
    </row>
    <row r="177" spans="1:31" ht="31.2" customHeight="1" x14ac:dyDescent="0.3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77</v>
      </c>
      <c r="S177" s="41" t="s">
        <v>38</v>
      </c>
      <c r="T177" s="2">
        <v>0</v>
      </c>
      <c r="U177" s="2">
        <v>0</v>
      </c>
      <c r="V177" s="2">
        <v>0</v>
      </c>
      <c r="W177" s="44">
        <v>0</v>
      </c>
      <c r="X177" s="2">
        <v>1</v>
      </c>
      <c r="Y177" s="2">
        <v>2</v>
      </c>
      <c r="Z177" s="2">
        <v>2</v>
      </c>
      <c r="AA177" s="49">
        <f>SUM(T177:Z177)</f>
        <v>5</v>
      </c>
      <c r="AB177" s="41">
        <v>2024</v>
      </c>
      <c r="AD177" s="104"/>
      <c r="AE177" s="104"/>
    </row>
    <row r="178" spans="1:31" ht="31.8" customHeight="1" x14ac:dyDescent="0.3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49" t="s">
        <v>136</v>
      </c>
      <c r="S178" s="55" t="s">
        <v>41</v>
      </c>
      <c r="T178" s="56">
        <v>0</v>
      </c>
      <c r="U178" s="56">
        <v>0</v>
      </c>
      <c r="V178" s="56">
        <v>0</v>
      </c>
      <c r="W178" s="56">
        <v>1</v>
      </c>
      <c r="X178" s="56">
        <v>1</v>
      </c>
      <c r="Y178" s="56">
        <v>1</v>
      </c>
      <c r="Z178" s="56">
        <v>1</v>
      </c>
      <c r="AA178" s="57">
        <v>1</v>
      </c>
      <c r="AB178" s="58">
        <v>2024</v>
      </c>
      <c r="AD178" s="104"/>
      <c r="AE178" s="104"/>
    </row>
    <row r="179" spans="1:31" s="76" customFormat="1" ht="46.8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0" t="s">
        <v>137</v>
      </c>
      <c r="S179" s="62" t="s">
        <v>38</v>
      </c>
      <c r="T179" s="2">
        <v>0</v>
      </c>
      <c r="U179" s="2">
        <v>0</v>
      </c>
      <c r="V179" s="2">
        <v>0</v>
      </c>
      <c r="W179" s="2">
        <v>2</v>
      </c>
      <c r="X179" s="2">
        <v>30</v>
      </c>
      <c r="Y179" s="2">
        <v>30</v>
      </c>
      <c r="Z179" s="2">
        <v>30</v>
      </c>
      <c r="AA179" s="45">
        <f>SUM(T179:Z179)</f>
        <v>92</v>
      </c>
      <c r="AB179" s="41">
        <v>2024</v>
      </c>
      <c r="AC179" s="103"/>
    </row>
    <row r="180" spans="1:31" s="76" customFormat="1" ht="63" customHeight="1" x14ac:dyDescent="0.3">
      <c r="A180" s="54"/>
      <c r="B180" s="54"/>
      <c r="C180" s="54"/>
      <c r="D180" s="54" t="s">
        <v>18</v>
      </c>
      <c r="E180" s="54" t="s">
        <v>24</v>
      </c>
      <c r="F180" s="54" t="s">
        <v>18</v>
      </c>
      <c r="G180" s="54" t="s">
        <v>43</v>
      </c>
      <c r="H180" s="54" t="s">
        <v>19</v>
      </c>
      <c r="I180" s="54" t="s">
        <v>24</v>
      </c>
      <c r="J180" s="54" t="s">
        <v>18</v>
      </c>
      <c r="K180" s="54" t="s">
        <v>18</v>
      </c>
      <c r="L180" s="54" t="s">
        <v>20</v>
      </c>
      <c r="M180" s="54" t="s">
        <v>18</v>
      </c>
      <c r="N180" s="54" t="s">
        <v>18</v>
      </c>
      <c r="O180" s="54" t="s">
        <v>18</v>
      </c>
      <c r="P180" s="54" t="s">
        <v>18</v>
      </c>
      <c r="Q180" s="54" t="s">
        <v>18</v>
      </c>
      <c r="R180" s="157" t="s">
        <v>138</v>
      </c>
      <c r="S180" s="58" t="s">
        <v>0</v>
      </c>
      <c r="T180" s="59">
        <f t="shared" ref="T180:Z180" si="66">T187+T194+T201+T208+T215</f>
        <v>123487.5</v>
      </c>
      <c r="U180" s="59">
        <f t="shared" si="66"/>
        <v>86341.199999999983</v>
      </c>
      <c r="V180" s="59">
        <f t="shared" si="66"/>
        <v>569.79999999999995</v>
      </c>
      <c r="W180" s="59">
        <f t="shared" si="66"/>
        <v>160</v>
      </c>
      <c r="X180" s="59">
        <f t="shared" si="66"/>
        <v>0</v>
      </c>
      <c r="Y180" s="59">
        <f t="shared" si="66"/>
        <v>0</v>
      </c>
      <c r="Z180" s="59">
        <f t="shared" si="66"/>
        <v>0</v>
      </c>
      <c r="AA180" s="59">
        <f>SUM(T180:Z180)</f>
        <v>210558.49999999997</v>
      </c>
      <c r="AB180" s="58">
        <v>2021</v>
      </c>
      <c r="AC180" s="108"/>
    </row>
    <row r="181" spans="1:31" s="76" customFormat="1" ht="19.95" hidden="1" customHeight="1" x14ac:dyDescent="0.3">
      <c r="A181" s="54"/>
      <c r="B181" s="54"/>
      <c r="C181" s="54"/>
      <c r="D181" s="54" t="s">
        <v>18</v>
      </c>
      <c r="E181" s="54" t="s">
        <v>24</v>
      </c>
      <c r="F181" s="54" t="s">
        <v>18</v>
      </c>
      <c r="G181" s="54" t="s">
        <v>43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37</v>
      </c>
      <c r="N181" s="54" t="s">
        <v>18</v>
      </c>
      <c r="O181" s="54" t="s">
        <v>20</v>
      </c>
      <c r="P181" s="54" t="s">
        <v>19</v>
      </c>
      <c r="Q181" s="54" t="s">
        <v>39</v>
      </c>
      <c r="R181" s="157"/>
      <c r="S181" s="55" t="s">
        <v>0</v>
      </c>
      <c r="T181" s="1">
        <f t="shared" ref="T181:Z182" si="67">T189+T196+T203+T210</f>
        <v>0</v>
      </c>
      <c r="U181" s="1">
        <f t="shared" si="67"/>
        <v>18179.999999999996</v>
      </c>
      <c r="V181" s="1">
        <f t="shared" si="67"/>
        <v>0</v>
      </c>
      <c r="W181" s="1">
        <f t="shared" si="67"/>
        <v>0</v>
      </c>
      <c r="X181" s="1">
        <f t="shared" si="67"/>
        <v>0</v>
      </c>
      <c r="Y181" s="1">
        <f t="shared" si="67"/>
        <v>0</v>
      </c>
      <c r="Z181" s="1">
        <f t="shared" si="67"/>
        <v>0</v>
      </c>
      <c r="AA181" s="59">
        <f>T181+U181+V181+W181+X181+Y181</f>
        <v>18179.999999999996</v>
      </c>
      <c r="AB181" s="58">
        <v>2023</v>
      </c>
      <c r="AC181" s="103"/>
    </row>
    <row r="182" spans="1:31" s="76" customFormat="1" ht="19.95" hidden="1" customHeight="1" x14ac:dyDescent="0.3">
      <c r="A182" s="54"/>
      <c r="B182" s="54"/>
      <c r="C182" s="54"/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57"/>
      <c r="S182" s="55" t="s">
        <v>0</v>
      </c>
      <c r="T182" s="1">
        <f t="shared" si="67"/>
        <v>0</v>
      </c>
      <c r="U182" s="1">
        <f t="shared" si="67"/>
        <v>896.59999999999991</v>
      </c>
      <c r="V182" s="1">
        <f t="shared" si="67"/>
        <v>569.79999999999995</v>
      </c>
      <c r="W182" s="1">
        <f t="shared" si="67"/>
        <v>160</v>
      </c>
      <c r="X182" s="1">
        <f t="shared" si="67"/>
        <v>0</v>
      </c>
      <c r="Y182" s="1">
        <f t="shared" si="67"/>
        <v>0</v>
      </c>
      <c r="Z182" s="1">
        <f t="shared" si="67"/>
        <v>0</v>
      </c>
      <c r="AA182" s="59">
        <f>T182+U182+V182+W182+X182+Y182</f>
        <v>1626.3999999999999</v>
      </c>
      <c r="AB182" s="58">
        <v>2023</v>
      </c>
      <c r="AC182" s="103"/>
    </row>
    <row r="183" spans="1:31" s="76" customFormat="1" ht="62.4" x14ac:dyDescent="0.3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185</v>
      </c>
      <c r="S183" s="62" t="s">
        <v>52</v>
      </c>
      <c r="T183" s="3">
        <f>T219</f>
        <v>58.6</v>
      </c>
      <c r="U183" s="3">
        <f t="shared" ref="U183:Z183" si="68">U219+U212+U205+U198+U191</f>
        <v>38.200000000000003</v>
      </c>
      <c r="V183" s="3">
        <f t="shared" si="68"/>
        <v>0</v>
      </c>
      <c r="W183" s="3">
        <f t="shared" si="68"/>
        <v>0</v>
      </c>
      <c r="X183" s="3">
        <f t="shared" si="68"/>
        <v>0</v>
      </c>
      <c r="Y183" s="3">
        <f t="shared" si="68"/>
        <v>0</v>
      </c>
      <c r="Z183" s="3">
        <f t="shared" si="68"/>
        <v>0</v>
      </c>
      <c r="AA183" s="6">
        <f>SUM(T183:Z183)</f>
        <v>96.800000000000011</v>
      </c>
      <c r="AB183" s="41">
        <v>2019</v>
      </c>
      <c r="AC183" s="103"/>
    </row>
    <row r="184" spans="1:31" s="76" customFormat="1" ht="31.2" hidden="1" customHeight="1" x14ac:dyDescent="0.3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79" t="s">
        <v>51</v>
      </c>
      <c r="S184" s="62"/>
      <c r="T184" s="3">
        <f>T220</f>
        <v>28</v>
      </c>
      <c r="U184" s="3"/>
      <c r="V184" s="3"/>
      <c r="W184" s="3"/>
      <c r="X184" s="3"/>
      <c r="Y184" s="3"/>
      <c r="Z184" s="3"/>
      <c r="AA184" s="6"/>
      <c r="AB184" s="41">
        <v>2020</v>
      </c>
      <c r="AC184" s="103"/>
    </row>
    <row r="185" spans="1:31" s="76" customFormat="1" ht="31.2" x14ac:dyDescent="0.3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0" t="s">
        <v>186</v>
      </c>
      <c r="S185" s="62" t="s">
        <v>38</v>
      </c>
      <c r="T185" s="44">
        <f>T220</f>
        <v>28</v>
      </c>
      <c r="U185" s="44">
        <f>U192+U199+U206+U213+U220</f>
        <v>20</v>
      </c>
      <c r="V185" s="44">
        <f>V192+V199+V206+V213</f>
        <v>0</v>
      </c>
      <c r="W185" s="44">
        <f>W192+W199+W206+W213</f>
        <v>0</v>
      </c>
      <c r="X185" s="44">
        <f>X192+X199+X206+X213</f>
        <v>0</v>
      </c>
      <c r="Y185" s="44">
        <f>Y192+Y199+Y206+Y213</f>
        <v>0</v>
      </c>
      <c r="Z185" s="44">
        <f>Z192+Z199+Z206+Z213</f>
        <v>0</v>
      </c>
      <c r="AA185" s="49">
        <f>SUM(T185:Z185)</f>
        <v>48</v>
      </c>
      <c r="AB185" s="41">
        <v>2019</v>
      </c>
      <c r="AC185" s="103"/>
      <c r="AD185" s="81"/>
    </row>
    <row r="186" spans="1:31" s="133" customFormat="1" ht="45.6" customHeight="1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348</v>
      </c>
      <c r="S186" s="52" t="s">
        <v>38</v>
      </c>
      <c r="T186" s="44">
        <v>0</v>
      </c>
      <c r="U186" s="44">
        <f>U193+U200+U207+U214</f>
        <v>20</v>
      </c>
      <c r="V186" s="44">
        <f>V193+V200+V207+V214</f>
        <v>14</v>
      </c>
      <c r="W186" s="44">
        <f>W193+W200+W207+W214</f>
        <v>2</v>
      </c>
      <c r="X186" s="44">
        <v>0</v>
      </c>
      <c r="Y186" s="44">
        <v>0</v>
      </c>
      <c r="Z186" s="44">
        <v>0</v>
      </c>
      <c r="AA186" s="49">
        <f>SUM(T186:Z186)</f>
        <v>36</v>
      </c>
      <c r="AB186" s="41">
        <v>2021</v>
      </c>
      <c r="AC186" s="111"/>
      <c r="AD186" s="132"/>
    </row>
    <row r="187" spans="1:31" s="76" customFormat="1" x14ac:dyDescent="0.3">
      <c r="A187" s="54" t="s">
        <v>18</v>
      </c>
      <c r="B187" s="54" t="s">
        <v>18</v>
      </c>
      <c r="C187" s="54" t="s">
        <v>22</v>
      </c>
      <c r="D187" s="54" t="s">
        <v>18</v>
      </c>
      <c r="E187" s="54" t="s">
        <v>24</v>
      </c>
      <c r="F187" s="54" t="s">
        <v>18</v>
      </c>
      <c r="G187" s="54" t="s">
        <v>43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18</v>
      </c>
      <c r="N187" s="54" t="s">
        <v>18</v>
      </c>
      <c r="O187" s="54" t="s">
        <v>18</v>
      </c>
      <c r="P187" s="54" t="s">
        <v>18</v>
      </c>
      <c r="Q187" s="54" t="s">
        <v>18</v>
      </c>
      <c r="R187" s="157" t="s">
        <v>138</v>
      </c>
      <c r="S187" s="151" t="s">
        <v>0</v>
      </c>
      <c r="T187" s="59">
        <f>SUM(T189:T190)</f>
        <v>0</v>
      </c>
      <c r="U187" s="59">
        <f>SUM(U188:U190)</f>
        <v>26850.299999999996</v>
      </c>
      <c r="V187" s="59">
        <f t="shared" ref="V187:Z187" si="69">SUM(V188:V190)</f>
        <v>48.800000000000011</v>
      </c>
      <c r="W187" s="59">
        <f t="shared" si="69"/>
        <v>160</v>
      </c>
      <c r="X187" s="59">
        <f t="shared" si="69"/>
        <v>0</v>
      </c>
      <c r="Y187" s="59">
        <f t="shared" si="69"/>
        <v>0</v>
      </c>
      <c r="Z187" s="59">
        <f t="shared" si="69"/>
        <v>0</v>
      </c>
      <c r="AA187" s="59">
        <f>SUM(T187:Z187)</f>
        <v>27059.099999999995</v>
      </c>
      <c r="AB187" s="58">
        <v>2021</v>
      </c>
      <c r="AC187" s="103"/>
      <c r="AD187" s="81"/>
    </row>
    <row r="188" spans="1:31" s="76" customFormat="1" x14ac:dyDescent="0.3">
      <c r="A188" s="54" t="s">
        <v>18</v>
      </c>
      <c r="B188" s="54" t="s">
        <v>18</v>
      </c>
      <c r="C188" s="54" t="s">
        <v>22</v>
      </c>
      <c r="D188" s="54" t="s">
        <v>18</v>
      </c>
      <c r="E188" s="54" t="s">
        <v>24</v>
      </c>
      <c r="F188" s="54" t="s">
        <v>18</v>
      </c>
      <c r="G188" s="54" t="s">
        <v>43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19</v>
      </c>
      <c r="N188" s="54" t="s">
        <v>18</v>
      </c>
      <c r="O188" s="54" t="s">
        <v>177</v>
      </c>
      <c r="P188" s="54" t="s">
        <v>21</v>
      </c>
      <c r="Q188" s="54" t="s">
        <v>25</v>
      </c>
      <c r="R188" s="157"/>
      <c r="S188" s="152"/>
      <c r="T188" s="1">
        <v>0</v>
      </c>
      <c r="U188" s="1">
        <f>16800.1+4329.1</f>
        <v>21129.199999999997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ref="AA188" si="70">SUM(T188:Z188)</f>
        <v>21129.199999999997</v>
      </c>
      <c r="AB188" s="58">
        <v>2019</v>
      </c>
      <c r="AC188" s="103"/>
      <c r="AD188" s="81"/>
    </row>
    <row r="189" spans="1:31" s="76" customFormat="1" x14ac:dyDescent="0.3">
      <c r="A189" s="54" t="s">
        <v>18</v>
      </c>
      <c r="B189" s="54" t="s">
        <v>18</v>
      </c>
      <c r="C189" s="54" t="s">
        <v>22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37</v>
      </c>
      <c r="N189" s="54" t="s">
        <v>18</v>
      </c>
      <c r="O189" s="54" t="s">
        <v>177</v>
      </c>
      <c r="P189" s="54" t="s">
        <v>21</v>
      </c>
      <c r="Q189" s="54" t="s">
        <v>25</v>
      </c>
      <c r="R189" s="157"/>
      <c r="S189" s="152"/>
      <c r="T189" s="1">
        <v>0</v>
      </c>
      <c r="U189" s="1">
        <f>4199.9+2224.5-291-681.9</f>
        <v>5451.5</v>
      </c>
      <c r="V189" s="1">
        <f>2529.4-2529.4</f>
        <v>0</v>
      </c>
      <c r="W189" s="1">
        <f>2800-2800</f>
        <v>0</v>
      </c>
      <c r="X189" s="1">
        <f>2800-2800</f>
        <v>0</v>
      </c>
      <c r="Y189" s="1">
        <f t="shared" ref="Y189:Z189" si="71">2800-2800</f>
        <v>0</v>
      </c>
      <c r="Z189" s="1">
        <f t="shared" si="71"/>
        <v>0</v>
      </c>
      <c r="AA189" s="59">
        <f t="shared" ref="AA189:AA190" si="72">SUM(T189:Z189)</f>
        <v>5451.5</v>
      </c>
      <c r="AB189" s="58">
        <v>2019</v>
      </c>
      <c r="AC189" s="103"/>
      <c r="AD189" s="81"/>
    </row>
    <row r="190" spans="1:31" s="76" customFormat="1" ht="15" customHeight="1" x14ac:dyDescent="0.3">
      <c r="A190" s="54" t="s">
        <v>18</v>
      </c>
      <c r="B190" s="54" t="s">
        <v>18</v>
      </c>
      <c r="C190" s="54" t="s">
        <v>22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7"/>
      <c r="S190" s="153"/>
      <c r="T190" s="1">
        <v>0</v>
      </c>
      <c r="U190" s="1">
        <f>164.3-164.3+200+449.4+50.8-371.3-59.3</f>
        <v>269.59999999999991</v>
      </c>
      <c r="V190" s="1">
        <f>270.6-221.8</f>
        <v>48.800000000000011</v>
      </c>
      <c r="W190" s="1">
        <f>0+160</f>
        <v>160</v>
      </c>
      <c r="X190" s="1">
        <v>0</v>
      </c>
      <c r="Y190" s="1">
        <v>0</v>
      </c>
      <c r="Z190" s="1">
        <v>0</v>
      </c>
      <c r="AA190" s="59">
        <f t="shared" si="72"/>
        <v>478.39999999999992</v>
      </c>
      <c r="AB190" s="58">
        <v>2021</v>
      </c>
      <c r="AC190" s="103"/>
      <c r="AD190" s="81"/>
    </row>
    <row r="191" spans="1:31" s="76" customFormat="1" ht="67.8" customHeight="1" x14ac:dyDescent="0.3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8" t="s">
        <v>290</v>
      </c>
      <c r="S191" s="62" t="s">
        <v>42</v>
      </c>
      <c r="T191" s="3">
        <v>0</v>
      </c>
      <c r="U191" s="3">
        <v>11.6</v>
      </c>
      <c r="V191" s="3">
        <f>6.8-6.8</f>
        <v>0</v>
      </c>
      <c r="W191" s="3">
        <v>0</v>
      </c>
      <c r="X191" s="3">
        <v>0</v>
      </c>
      <c r="Y191" s="3">
        <v>0</v>
      </c>
      <c r="Z191" s="3">
        <v>0</v>
      </c>
      <c r="AA191" s="6">
        <f>SUM(T191:Z191)</f>
        <v>11.6</v>
      </c>
      <c r="AB191" s="41">
        <v>2019</v>
      </c>
      <c r="AC191" s="103"/>
    </row>
    <row r="192" spans="1:31" s="76" customFormat="1" ht="52.8" customHeight="1" x14ac:dyDescent="0.3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0" t="s">
        <v>291</v>
      </c>
      <c r="S192" s="62" t="s">
        <v>38</v>
      </c>
      <c r="T192" s="44">
        <v>0</v>
      </c>
      <c r="U192" s="44">
        <v>8</v>
      </c>
      <c r="V192" s="44">
        <f>3-3</f>
        <v>0</v>
      </c>
      <c r="W192" s="44">
        <v>0</v>
      </c>
      <c r="X192" s="44">
        <v>0</v>
      </c>
      <c r="Y192" s="44">
        <v>0</v>
      </c>
      <c r="Z192" s="44">
        <v>0</v>
      </c>
      <c r="AA192" s="49">
        <f>SUM(T192:Z192)</f>
        <v>8</v>
      </c>
      <c r="AB192" s="41">
        <v>2019</v>
      </c>
      <c r="AC192" s="103"/>
      <c r="AD192" s="81"/>
    </row>
    <row r="193" spans="1:30" s="133" customFormat="1" ht="67.8" customHeight="1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370</v>
      </c>
      <c r="S193" s="52" t="s">
        <v>38</v>
      </c>
      <c r="T193" s="44">
        <v>0</v>
      </c>
      <c r="U193" s="44">
        <v>8</v>
      </c>
      <c r="V193" s="44">
        <v>5</v>
      </c>
      <c r="W193" s="44">
        <v>2</v>
      </c>
      <c r="X193" s="44">
        <v>0</v>
      </c>
      <c r="Y193" s="44">
        <v>0</v>
      </c>
      <c r="Z193" s="44">
        <v>0</v>
      </c>
      <c r="AA193" s="49">
        <f>SUM(T193:Z193)</f>
        <v>15</v>
      </c>
      <c r="AB193" s="41">
        <v>2021</v>
      </c>
      <c r="AC193" s="111"/>
      <c r="AD193" s="132"/>
    </row>
    <row r="194" spans="1:30" s="76" customFormat="1" x14ac:dyDescent="0.3">
      <c r="A194" s="54" t="s">
        <v>18</v>
      </c>
      <c r="B194" s="54" t="s">
        <v>18</v>
      </c>
      <c r="C194" s="54" t="s">
        <v>24</v>
      </c>
      <c r="D194" s="54" t="s">
        <v>18</v>
      </c>
      <c r="E194" s="54" t="s">
        <v>24</v>
      </c>
      <c r="F194" s="54" t="s">
        <v>18</v>
      </c>
      <c r="G194" s="54" t="s">
        <v>43</v>
      </c>
      <c r="H194" s="54" t="s">
        <v>19</v>
      </c>
      <c r="I194" s="54" t="s">
        <v>24</v>
      </c>
      <c r="J194" s="54" t="s">
        <v>18</v>
      </c>
      <c r="K194" s="54" t="s">
        <v>18</v>
      </c>
      <c r="L194" s="54" t="s">
        <v>20</v>
      </c>
      <c r="M194" s="54" t="s">
        <v>18</v>
      </c>
      <c r="N194" s="54" t="s">
        <v>18</v>
      </c>
      <c r="O194" s="54" t="s">
        <v>18</v>
      </c>
      <c r="P194" s="54" t="s">
        <v>18</v>
      </c>
      <c r="Q194" s="54" t="s">
        <v>18</v>
      </c>
      <c r="R194" s="157" t="s">
        <v>138</v>
      </c>
      <c r="S194" s="151" t="s">
        <v>0</v>
      </c>
      <c r="T194" s="59">
        <f>T196+T197</f>
        <v>0</v>
      </c>
      <c r="U194" s="59">
        <f>SUM(U195:U197)</f>
        <v>22882.399999999998</v>
      </c>
      <c r="V194" s="59">
        <f t="shared" ref="V194:X194" si="73">SUM(V195:V197)</f>
        <v>0</v>
      </c>
      <c r="W194" s="59">
        <f t="shared" si="73"/>
        <v>0</v>
      </c>
      <c r="X194" s="59">
        <f t="shared" si="73"/>
        <v>0</v>
      </c>
      <c r="Y194" s="59">
        <f t="shared" ref="Y194:Z194" si="74">SUM(Y195:Y197)</f>
        <v>0</v>
      </c>
      <c r="Z194" s="59">
        <f t="shared" si="74"/>
        <v>0</v>
      </c>
      <c r="AA194" s="59">
        <f>SUM(T194:Z194)</f>
        <v>22882.399999999998</v>
      </c>
      <c r="AB194" s="58">
        <v>2019</v>
      </c>
      <c r="AC194" s="103"/>
    </row>
    <row r="195" spans="1:30" s="76" customFormat="1" x14ac:dyDescent="0.3">
      <c r="A195" s="54" t="s">
        <v>18</v>
      </c>
      <c r="B195" s="54" t="s">
        <v>18</v>
      </c>
      <c r="C195" s="54" t="s">
        <v>24</v>
      </c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19</v>
      </c>
      <c r="N195" s="54" t="s">
        <v>18</v>
      </c>
      <c r="O195" s="54" t="s">
        <v>177</v>
      </c>
      <c r="P195" s="54" t="s">
        <v>21</v>
      </c>
      <c r="Q195" s="54" t="s">
        <v>25</v>
      </c>
      <c r="R195" s="157"/>
      <c r="S195" s="152"/>
      <c r="T195" s="1">
        <f>T197+T198</f>
        <v>0</v>
      </c>
      <c r="U195" s="1">
        <f>14400.1+2862.7</f>
        <v>17262.8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59">
        <f t="shared" ref="AA195:AA197" si="75">SUM(T195:Z195)</f>
        <v>17262.8</v>
      </c>
      <c r="AB195" s="58">
        <v>2019</v>
      </c>
      <c r="AC195" s="103"/>
    </row>
    <row r="196" spans="1:30" s="76" customFormat="1" x14ac:dyDescent="0.3">
      <c r="A196" s="54" t="s">
        <v>18</v>
      </c>
      <c r="B196" s="54" t="s">
        <v>18</v>
      </c>
      <c r="C196" s="54" t="s">
        <v>24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177</v>
      </c>
      <c r="P196" s="54" t="s">
        <v>21</v>
      </c>
      <c r="Q196" s="54" t="s">
        <v>25</v>
      </c>
      <c r="R196" s="157"/>
      <c r="S196" s="152"/>
      <c r="T196" s="1">
        <v>0</v>
      </c>
      <c r="U196" s="1">
        <f>3599.9+2545.7-290-443.1</f>
        <v>5412.5</v>
      </c>
      <c r="V196" s="1">
        <f>1096.5-1096.5</f>
        <v>0</v>
      </c>
      <c r="W196" s="1">
        <f>1500-1500</f>
        <v>0</v>
      </c>
      <c r="X196" s="1">
        <f>1500-1500</f>
        <v>0</v>
      </c>
      <c r="Y196" s="1">
        <f>1500-1500</f>
        <v>0</v>
      </c>
      <c r="Z196" s="1">
        <f>1500-1500</f>
        <v>0</v>
      </c>
      <c r="AA196" s="59">
        <f t="shared" si="75"/>
        <v>5412.5</v>
      </c>
      <c r="AB196" s="58">
        <v>2019</v>
      </c>
      <c r="AC196" s="103"/>
    </row>
    <row r="197" spans="1:30" s="76" customFormat="1" x14ac:dyDescent="0.3">
      <c r="A197" s="54" t="s">
        <v>18</v>
      </c>
      <c r="B197" s="54" t="s">
        <v>18</v>
      </c>
      <c r="C197" s="54" t="s">
        <v>24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43</v>
      </c>
      <c r="N197" s="54" t="s">
        <v>43</v>
      </c>
      <c r="O197" s="54" t="s">
        <v>43</v>
      </c>
      <c r="P197" s="54" t="s">
        <v>43</v>
      </c>
      <c r="Q197" s="54" t="s">
        <v>43</v>
      </c>
      <c r="R197" s="157"/>
      <c r="S197" s="153"/>
      <c r="T197" s="1">
        <v>0</v>
      </c>
      <c r="U197" s="1">
        <f>145-145+100+385.2+30.4-308.5</f>
        <v>207.10000000000002</v>
      </c>
      <c r="V197" s="1">
        <f>403.5-403.5</f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si="75"/>
        <v>207.10000000000002</v>
      </c>
      <c r="AB197" s="58">
        <v>2019</v>
      </c>
      <c r="AC197" s="103"/>
    </row>
    <row r="198" spans="1:30" s="76" customFormat="1" ht="69" customHeight="1" x14ac:dyDescent="0.3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292</v>
      </c>
      <c r="S198" s="62" t="s">
        <v>52</v>
      </c>
      <c r="T198" s="3">
        <v>0</v>
      </c>
      <c r="U198" s="3">
        <v>10.6</v>
      </c>
      <c r="V198" s="3">
        <f>3-3</f>
        <v>0</v>
      </c>
      <c r="W198" s="3">
        <v>0</v>
      </c>
      <c r="X198" s="3">
        <v>0</v>
      </c>
      <c r="Y198" s="3">
        <v>0</v>
      </c>
      <c r="Z198" s="3">
        <v>0</v>
      </c>
      <c r="AA198" s="6">
        <f>SUM(T198:Z198)</f>
        <v>10.6</v>
      </c>
      <c r="AB198" s="41">
        <v>2019</v>
      </c>
      <c r="AC198" s="103"/>
    </row>
    <row r="199" spans="1:30" s="76" customFormat="1" ht="50.4" customHeight="1" x14ac:dyDescent="0.3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0" t="s">
        <v>293</v>
      </c>
      <c r="S199" s="62" t="s">
        <v>38</v>
      </c>
      <c r="T199" s="44">
        <v>0</v>
      </c>
      <c r="U199" s="44">
        <v>4</v>
      </c>
      <c r="V199" s="44">
        <f>2-2</f>
        <v>0</v>
      </c>
      <c r="W199" s="44">
        <v>0</v>
      </c>
      <c r="X199" s="44">
        <v>0</v>
      </c>
      <c r="Y199" s="44">
        <v>0</v>
      </c>
      <c r="Z199" s="44">
        <v>0</v>
      </c>
      <c r="AA199" s="49">
        <f>SUM(T199:Z199)</f>
        <v>4</v>
      </c>
      <c r="AB199" s="41">
        <v>2019</v>
      </c>
      <c r="AC199" s="103"/>
      <c r="AD199" s="81"/>
    </row>
    <row r="200" spans="1:30" s="133" customFormat="1" ht="68.400000000000006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8" t="s">
        <v>300</v>
      </c>
      <c r="S200" s="52" t="s">
        <v>38</v>
      </c>
      <c r="T200" s="44">
        <v>0</v>
      </c>
      <c r="U200" s="44">
        <v>4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9">
        <f>SUM(T200:Z200)</f>
        <v>4</v>
      </c>
      <c r="AB200" s="41">
        <v>2019</v>
      </c>
      <c r="AC200" s="111"/>
      <c r="AD200" s="132"/>
    </row>
    <row r="201" spans="1:30" s="76" customFormat="1" x14ac:dyDescent="0.3">
      <c r="A201" s="54" t="s">
        <v>18</v>
      </c>
      <c r="B201" s="54" t="s">
        <v>18</v>
      </c>
      <c r="C201" s="54" t="s">
        <v>21</v>
      </c>
      <c r="D201" s="54" t="s">
        <v>18</v>
      </c>
      <c r="E201" s="54" t="s">
        <v>24</v>
      </c>
      <c r="F201" s="54" t="s">
        <v>18</v>
      </c>
      <c r="G201" s="54" t="s">
        <v>43</v>
      </c>
      <c r="H201" s="54" t="s">
        <v>19</v>
      </c>
      <c r="I201" s="54" t="s">
        <v>24</v>
      </c>
      <c r="J201" s="54" t="s">
        <v>18</v>
      </c>
      <c r="K201" s="54" t="s">
        <v>18</v>
      </c>
      <c r="L201" s="54" t="s">
        <v>20</v>
      </c>
      <c r="M201" s="54" t="s">
        <v>18</v>
      </c>
      <c r="N201" s="54" t="s">
        <v>18</v>
      </c>
      <c r="O201" s="54" t="s">
        <v>18</v>
      </c>
      <c r="P201" s="54" t="s">
        <v>18</v>
      </c>
      <c r="Q201" s="54" t="s">
        <v>18</v>
      </c>
      <c r="R201" s="157" t="s">
        <v>138</v>
      </c>
      <c r="S201" s="151" t="s">
        <v>0</v>
      </c>
      <c r="T201" s="59">
        <f>T203+T204</f>
        <v>0</v>
      </c>
      <c r="U201" s="59">
        <f>SUM(U202:U204)</f>
        <v>25870.1</v>
      </c>
      <c r="V201" s="59">
        <f t="shared" ref="V201:X201" si="76">SUM(V202:V204)</f>
        <v>30</v>
      </c>
      <c r="W201" s="59">
        <f t="shared" si="76"/>
        <v>0</v>
      </c>
      <c r="X201" s="59">
        <f t="shared" si="76"/>
        <v>0</v>
      </c>
      <c r="Y201" s="59">
        <f t="shared" ref="Y201:Z201" si="77">SUM(Y202:Y204)</f>
        <v>0</v>
      </c>
      <c r="Z201" s="59">
        <f t="shared" si="77"/>
        <v>0</v>
      </c>
      <c r="AA201" s="59">
        <f>SUM(T201:Z201)</f>
        <v>25900.1</v>
      </c>
      <c r="AB201" s="58">
        <v>2020</v>
      </c>
      <c r="AC201" s="103"/>
    </row>
    <row r="202" spans="1:30" s="76" customFormat="1" x14ac:dyDescent="0.3">
      <c r="A202" s="54" t="s">
        <v>18</v>
      </c>
      <c r="B202" s="54" t="s">
        <v>18</v>
      </c>
      <c r="C202" s="54" t="s">
        <v>21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19</v>
      </c>
      <c r="N202" s="54" t="s">
        <v>18</v>
      </c>
      <c r="O202" s="54" t="s">
        <v>177</v>
      </c>
      <c r="P202" s="54" t="s">
        <v>21</v>
      </c>
      <c r="Q202" s="54" t="s">
        <v>25</v>
      </c>
      <c r="R202" s="157"/>
      <c r="S202" s="152"/>
      <c r="T202" s="1">
        <v>0</v>
      </c>
      <c r="U202" s="1">
        <f>16800.1+3497.2</f>
        <v>20297.3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59">
        <f t="shared" ref="AA202:AA203" si="78">SUM(T202:Z202)</f>
        <v>20297.3</v>
      </c>
      <c r="AB202" s="58">
        <v>2019</v>
      </c>
      <c r="AC202" s="103"/>
    </row>
    <row r="203" spans="1:30" s="76" customFormat="1" x14ac:dyDescent="0.3">
      <c r="A203" s="54" t="s">
        <v>18</v>
      </c>
      <c r="B203" s="54" t="s">
        <v>18</v>
      </c>
      <c r="C203" s="54" t="s">
        <v>21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37</v>
      </c>
      <c r="N203" s="54" t="s">
        <v>18</v>
      </c>
      <c r="O203" s="54" t="s">
        <v>177</v>
      </c>
      <c r="P203" s="54" t="s">
        <v>21</v>
      </c>
      <c r="Q203" s="54" t="s">
        <v>25</v>
      </c>
      <c r="R203" s="157"/>
      <c r="S203" s="152"/>
      <c r="T203" s="1">
        <v>0</v>
      </c>
      <c r="U203" s="1">
        <f>4199.9+588.4+1708.4-290-845.8</f>
        <v>5360.8999999999987</v>
      </c>
      <c r="V203" s="1">
        <f>1355-1355</f>
        <v>0</v>
      </c>
      <c r="W203" s="1">
        <f>1500-1500</f>
        <v>0</v>
      </c>
      <c r="X203" s="1">
        <f>1500-1500</f>
        <v>0</v>
      </c>
      <c r="Y203" s="1">
        <f>1500-1500</f>
        <v>0</v>
      </c>
      <c r="Z203" s="1">
        <f>1500-1500</f>
        <v>0</v>
      </c>
      <c r="AA203" s="59">
        <f t="shared" si="78"/>
        <v>5360.8999999999987</v>
      </c>
      <c r="AB203" s="58">
        <v>2019</v>
      </c>
      <c r="AC203" s="103"/>
    </row>
    <row r="204" spans="1:30" s="76" customFormat="1" x14ac:dyDescent="0.3">
      <c r="A204" s="54" t="s">
        <v>18</v>
      </c>
      <c r="B204" s="54" t="s">
        <v>18</v>
      </c>
      <c r="C204" s="54" t="s">
        <v>21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43</v>
      </c>
      <c r="N204" s="54" t="s">
        <v>43</v>
      </c>
      <c r="O204" s="54" t="s">
        <v>43</v>
      </c>
      <c r="P204" s="54" t="s">
        <v>43</v>
      </c>
      <c r="Q204" s="54" t="s">
        <v>43</v>
      </c>
      <c r="R204" s="157"/>
      <c r="S204" s="153"/>
      <c r="T204" s="1">
        <v>0</v>
      </c>
      <c r="U204" s="1">
        <f>145-145+100+449.4+12.6+23.8-373.9</f>
        <v>211.89999999999998</v>
      </c>
      <c r="V204" s="1">
        <f>145-115</f>
        <v>30</v>
      </c>
      <c r="W204" s="1">
        <v>0</v>
      </c>
      <c r="X204" s="1">
        <v>0</v>
      </c>
      <c r="Y204" s="1">
        <v>0</v>
      </c>
      <c r="Z204" s="1">
        <v>0</v>
      </c>
      <c r="AA204" s="59">
        <f>SUM(T204:Z204)</f>
        <v>241.89999999999998</v>
      </c>
      <c r="AB204" s="58">
        <v>2020</v>
      </c>
      <c r="AC204" s="103"/>
    </row>
    <row r="205" spans="1:30" s="76" customFormat="1" ht="62.4" x14ac:dyDescent="0.3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294</v>
      </c>
      <c r="S205" s="62" t="s">
        <v>52</v>
      </c>
      <c r="T205" s="44">
        <v>0</v>
      </c>
      <c r="U205" s="3">
        <v>11.9</v>
      </c>
      <c r="V205" s="3">
        <f>4-4</f>
        <v>0</v>
      </c>
      <c r="W205" s="3">
        <v>0</v>
      </c>
      <c r="X205" s="3">
        <v>0</v>
      </c>
      <c r="Y205" s="3">
        <v>0</v>
      </c>
      <c r="Z205" s="3">
        <v>0</v>
      </c>
      <c r="AA205" s="49">
        <f>SUM(T205:Z205)</f>
        <v>11.9</v>
      </c>
      <c r="AB205" s="41">
        <v>2019</v>
      </c>
      <c r="AC205" s="103"/>
    </row>
    <row r="206" spans="1:30" s="76" customFormat="1" ht="46.8" x14ac:dyDescent="0.3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0" t="s">
        <v>295</v>
      </c>
      <c r="S206" s="62" t="s">
        <v>38</v>
      </c>
      <c r="T206" s="44">
        <v>0</v>
      </c>
      <c r="U206" s="44">
        <v>3</v>
      </c>
      <c r="V206" s="44">
        <f>3-3</f>
        <v>0</v>
      </c>
      <c r="W206" s="44">
        <v>0</v>
      </c>
      <c r="X206" s="44">
        <v>0</v>
      </c>
      <c r="Y206" s="44">
        <v>0</v>
      </c>
      <c r="Z206" s="44">
        <v>0</v>
      </c>
      <c r="AA206" s="49">
        <f>SUM(T206:Z206)</f>
        <v>3</v>
      </c>
      <c r="AB206" s="41">
        <v>2019</v>
      </c>
      <c r="AC206" s="103"/>
      <c r="AD206" s="81"/>
    </row>
    <row r="207" spans="1:30" s="133" customFormat="1" ht="62.4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301</v>
      </c>
      <c r="S207" s="52" t="s">
        <v>38</v>
      </c>
      <c r="T207" s="44">
        <v>0</v>
      </c>
      <c r="U207" s="44">
        <v>3</v>
      </c>
      <c r="V207" s="44">
        <v>1</v>
      </c>
      <c r="W207" s="44">
        <v>0</v>
      </c>
      <c r="X207" s="44">
        <v>0</v>
      </c>
      <c r="Y207" s="44">
        <v>0</v>
      </c>
      <c r="Z207" s="44">
        <v>0</v>
      </c>
      <c r="AA207" s="49">
        <f>SUM(T207:Z207)</f>
        <v>4</v>
      </c>
      <c r="AB207" s="41">
        <v>2020</v>
      </c>
      <c r="AC207" s="111"/>
      <c r="AD207" s="132"/>
    </row>
    <row r="208" spans="1:30" s="76" customFormat="1" x14ac:dyDescent="0.3">
      <c r="A208" s="54" t="s">
        <v>18</v>
      </c>
      <c r="B208" s="54" t="s">
        <v>18</v>
      </c>
      <c r="C208" s="54" t="s">
        <v>25</v>
      </c>
      <c r="D208" s="54" t="s">
        <v>18</v>
      </c>
      <c r="E208" s="54" t="s">
        <v>24</v>
      </c>
      <c r="F208" s="54" t="s">
        <v>18</v>
      </c>
      <c r="G208" s="54" t="s">
        <v>43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20</v>
      </c>
      <c r="M208" s="54" t="s">
        <v>18</v>
      </c>
      <c r="N208" s="54" t="s">
        <v>18</v>
      </c>
      <c r="O208" s="54" t="s">
        <v>18</v>
      </c>
      <c r="P208" s="54" t="s">
        <v>18</v>
      </c>
      <c r="Q208" s="54" t="s">
        <v>18</v>
      </c>
      <c r="R208" s="157" t="s">
        <v>138</v>
      </c>
      <c r="S208" s="151" t="s">
        <v>0</v>
      </c>
      <c r="T208" s="59">
        <f>T210+T211</f>
        <v>0</v>
      </c>
      <c r="U208" s="59">
        <f>SUM(U209:U211)</f>
        <v>10158.9</v>
      </c>
      <c r="V208" s="59">
        <f t="shared" ref="V208:X208" si="79">SUM(V209:V211)</f>
        <v>491</v>
      </c>
      <c r="W208" s="59">
        <f t="shared" si="79"/>
        <v>0</v>
      </c>
      <c r="X208" s="59">
        <f t="shared" si="79"/>
        <v>0</v>
      </c>
      <c r="Y208" s="59">
        <f t="shared" ref="Y208:Z208" si="80">SUM(Y209:Y211)</f>
        <v>0</v>
      </c>
      <c r="Z208" s="59">
        <f t="shared" si="80"/>
        <v>0</v>
      </c>
      <c r="AA208" s="59">
        <f t="shared" ref="AA208:AA211" si="81">SUM(T208:Z208)</f>
        <v>10649.9</v>
      </c>
      <c r="AB208" s="58">
        <v>2020</v>
      </c>
      <c r="AC208" s="103"/>
    </row>
    <row r="209" spans="1:31" s="76" customFormat="1" x14ac:dyDescent="0.3">
      <c r="A209" s="54" t="s">
        <v>18</v>
      </c>
      <c r="B209" s="54" t="s">
        <v>18</v>
      </c>
      <c r="C209" s="54" t="s">
        <v>25</v>
      </c>
      <c r="D209" s="54" t="s">
        <v>18</v>
      </c>
      <c r="E209" s="54" t="s">
        <v>24</v>
      </c>
      <c r="F209" s="54" t="s">
        <v>18</v>
      </c>
      <c r="G209" s="54" t="s">
        <v>43</v>
      </c>
      <c r="H209" s="54" t="s">
        <v>19</v>
      </c>
      <c r="I209" s="54" t="s">
        <v>24</v>
      </c>
      <c r="J209" s="54" t="s">
        <v>18</v>
      </c>
      <c r="K209" s="54" t="s">
        <v>18</v>
      </c>
      <c r="L209" s="54" t="s">
        <v>20</v>
      </c>
      <c r="M209" s="54" t="s">
        <v>19</v>
      </c>
      <c r="N209" s="54" t="s">
        <v>18</v>
      </c>
      <c r="O209" s="54" t="s">
        <v>177</v>
      </c>
      <c r="P209" s="54" t="s">
        <v>21</v>
      </c>
      <c r="Q209" s="54" t="s">
        <v>25</v>
      </c>
      <c r="R209" s="157"/>
      <c r="S209" s="152"/>
      <c r="T209" s="1">
        <v>0</v>
      </c>
      <c r="U209" s="1">
        <f>9600-1604.2</f>
        <v>7995.8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59">
        <f t="shared" si="81"/>
        <v>7995.8</v>
      </c>
      <c r="AB209" s="58">
        <v>2019</v>
      </c>
      <c r="AC209" s="103"/>
    </row>
    <row r="210" spans="1:31" s="76" customFormat="1" x14ac:dyDescent="0.3">
      <c r="A210" s="54" t="s">
        <v>18</v>
      </c>
      <c r="B210" s="54" t="s">
        <v>18</v>
      </c>
      <c r="C210" s="54" t="s">
        <v>25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37</v>
      </c>
      <c r="N210" s="54" t="s">
        <v>18</v>
      </c>
      <c r="O210" s="54" t="s">
        <v>177</v>
      </c>
      <c r="P210" s="54" t="s">
        <v>21</v>
      </c>
      <c r="Q210" s="54" t="s">
        <v>25</v>
      </c>
      <c r="R210" s="157"/>
      <c r="S210" s="152"/>
      <c r="T210" s="1">
        <v>0</v>
      </c>
      <c r="U210" s="1">
        <f>2401-402-43.9</f>
        <v>1955.1</v>
      </c>
      <c r="V210" s="1">
        <f>798.8-798.8</f>
        <v>0</v>
      </c>
      <c r="W210" s="1">
        <f>1500-1500</f>
        <v>0</v>
      </c>
      <c r="X210" s="1">
        <f>1500-1500</f>
        <v>0</v>
      </c>
      <c r="Y210" s="1">
        <f>1500-1500</f>
        <v>0</v>
      </c>
      <c r="Z210" s="1">
        <f>1500-1500</f>
        <v>0</v>
      </c>
      <c r="AA210" s="59">
        <f t="shared" si="81"/>
        <v>1955.1</v>
      </c>
      <c r="AB210" s="58">
        <v>2019</v>
      </c>
      <c r="AC210" s="103"/>
    </row>
    <row r="211" spans="1:31" s="76" customFormat="1" x14ac:dyDescent="0.3">
      <c r="A211" s="54" t="s">
        <v>18</v>
      </c>
      <c r="B211" s="54" t="s">
        <v>18</v>
      </c>
      <c r="C211" s="54" t="s">
        <v>25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43</v>
      </c>
      <c r="N211" s="54" t="s">
        <v>43</v>
      </c>
      <c r="O211" s="54" t="s">
        <v>43</v>
      </c>
      <c r="P211" s="54" t="s">
        <v>43</v>
      </c>
      <c r="Q211" s="54" t="s">
        <v>43</v>
      </c>
      <c r="R211" s="157"/>
      <c r="S211" s="153"/>
      <c r="T211" s="1">
        <v>0</v>
      </c>
      <c r="U211" s="1">
        <f>356.9+402-550.9</f>
        <v>208</v>
      </c>
      <c r="V211" s="1">
        <f>701.2-88.6-121.6</f>
        <v>491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81"/>
        <v>699</v>
      </c>
      <c r="AB211" s="58">
        <v>2020</v>
      </c>
      <c r="AC211" s="103"/>
    </row>
    <row r="212" spans="1:31" s="76" customFormat="1" ht="62.4" x14ac:dyDescent="0.3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78" t="s">
        <v>296</v>
      </c>
      <c r="S212" s="62" t="s">
        <v>52</v>
      </c>
      <c r="T212" s="3">
        <v>0</v>
      </c>
      <c r="U212" s="3">
        <v>4.0999999999999996</v>
      </c>
      <c r="V212" s="3">
        <f>1.3-1.3</f>
        <v>0</v>
      </c>
      <c r="W212" s="3">
        <v>0</v>
      </c>
      <c r="X212" s="3">
        <v>0</v>
      </c>
      <c r="Y212" s="3">
        <v>0</v>
      </c>
      <c r="Z212" s="3">
        <v>0</v>
      </c>
      <c r="AA212" s="6">
        <f>SUM(T212:Z212)</f>
        <v>4.0999999999999996</v>
      </c>
      <c r="AB212" s="41">
        <v>2019</v>
      </c>
      <c r="AC212" s="103"/>
    </row>
    <row r="213" spans="1:31" s="76" customFormat="1" ht="45" customHeight="1" x14ac:dyDescent="0.3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80" t="s">
        <v>297</v>
      </c>
      <c r="S213" s="62" t="s">
        <v>38</v>
      </c>
      <c r="T213" s="44">
        <v>0</v>
      </c>
      <c r="U213" s="44">
        <v>5</v>
      </c>
      <c r="V213" s="44">
        <f>1-1</f>
        <v>0</v>
      </c>
      <c r="W213" s="44">
        <v>0</v>
      </c>
      <c r="X213" s="44">
        <v>0</v>
      </c>
      <c r="Y213" s="44">
        <v>0</v>
      </c>
      <c r="Z213" s="44">
        <v>0</v>
      </c>
      <c r="AA213" s="6">
        <f t="shared" ref="AA213:AA214" si="82">SUM(T213:Z213)</f>
        <v>5</v>
      </c>
      <c r="AB213" s="41">
        <v>2019</v>
      </c>
      <c r="AC213" s="103"/>
      <c r="AD213" s="81"/>
    </row>
    <row r="214" spans="1:31" s="133" customFormat="1" ht="62.4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347</v>
      </c>
      <c r="S214" s="52" t="s">
        <v>38</v>
      </c>
      <c r="T214" s="44">
        <v>0</v>
      </c>
      <c r="U214" s="44">
        <v>5</v>
      </c>
      <c r="V214" s="44">
        <v>8</v>
      </c>
      <c r="W214" s="44">
        <v>0</v>
      </c>
      <c r="X214" s="44">
        <v>0</v>
      </c>
      <c r="Y214" s="44">
        <v>0</v>
      </c>
      <c r="Z214" s="44">
        <v>0</v>
      </c>
      <c r="AA214" s="49">
        <f t="shared" si="82"/>
        <v>13</v>
      </c>
      <c r="AB214" s="41">
        <v>2020</v>
      </c>
      <c r="AC214" s="111"/>
      <c r="AD214" s="132"/>
    </row>
    <row r="215" spans="1:31" s="76" customFormat="1" x14ac:dyDescent="0.3">
      <c r="A215" s="54" t="s">
        <v>18</v>
      </c>
      <c r="B215" s="54" t="s">
        <v>19</v>
      </c>
      <c r="C215" s="54" t="s">
        <v>20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18</v>
      </c>
      <c r="N215" s="54" t="s">
        <v>18</v>
      </c>
      <c r="O215" s="54" t="s">
        <v>18</v>
      </c>
      <c r="P215" s="54" t="s">
        <v>18</v>
      </c>
      <c r="Q215" s="54" t="s">
        <v>18</v>
      </c>
      <c r="R215" s="157" t="s">
        <v>138</v>
      </c>
      <c r="S215" s="151" t="s">
        <v>0</v>
      </c>
      <c r="T215" s="59">
        <f t="shared" ref="T215:Y215" si="83">SUM(T216:T218)</f>
        <v>123487.5</v>
      </c>
      <c r="U215" s="59">
        <f t="shared" si="83"/>
        <v>579.5</v>
      </c>
      <c r="V215" s="59">
        <f t="shared" si="83"/>
        <v>0</v>
      </c>
      <c r="W215" s="59">
        <f t="shared" si="83"/>
        <v>0</v>
      </c>
      <c r="X215" s="59">
        <f t="shared" si="83"/>
        <v>0</v>
      </c>
      <c r="Y215" s="59">
        <f t="shared" si="83"/>
        <v>0</v>
      </c>
      <c r="Z215" s="59">
        <f t="shared" ref="Z215" si="84">SUM(Z216:Z218)</f>
        <v>0</v>
      </c>
      <c r="AA215" s="59">
        <f t="shared" ref="AA215:AA220" si="85">SUM(T215:Z215)</f>
        <v>124067</v>
      </c>
      <c r="AB215" s="58">
        <v>2019</v>
      </c>
      <c r="AC215" s="120"/>
    </row>
    <row r="216" spans="1:31" s="76" customFormat="1" x14ac:dyDescent="0.3">
      <c r="A216" s="54" t="s">
        <v>18</v>
      </c>
      <c r="B216" s="54" t="s">
        <v>19</v>
      </c>
      <c r="C216" s="54" t="s">
        <v>20</v>
      </c>
      <c r="D216" s="54" t="s">
        <v>18</v>
      </c>
      <c r="E216" s="54" t="s">
        <v>24</v>
      </c>
      <c r="F216" s="54" t="s">
        <v>18</v>
      </c>
      <c r="G216" s="54" t="s">
        <v>43</v>
      </c>
      <c r="H216" s="54" t="s">
        <v>19</v>
      </c>
      <c r="I216" s="54" t="s">
        <v>24</v>
      </c>
      <c r="J216" s="54" t="s">
        <v>18</v>
      </c>
      <c r="K216" s="54" t="s">
        <v>18</v>
      </c>
      <c r="L216" s="54" t="s">
        <v>20</v>
      </c>
      <c r="M216" s="54" t="s">
        <v>19</v>
      </c>
      <c r="N216" s="54" t="s">
        <v>18</v>
      </c>
      <c r="O216" s="54" t="s">
        <v>177</v>
      </c>
      <c r="P216" s="54" t="s">
        <v>21</v>
      </c>
      <c r="Q216" s="54" t="s">
        <v>25</v>
      </c>
      <c r="R216" s="157"/>
      <c r="S216" s="152"/>
      <c r="T216" s="1">
        <v>78128.899999999994</v>
      </c>
      <c r="U216" s="1">
        <f>57600.3-57600.3</f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59">
        <f t="shared" si="85"/>
        <v>78128.899999999994</v>
      </c>
      <c r="AB216" s="58">
        <v>2018</v>
      </c>
      <c r="AC216" s="33"/>
    </row>
    <row r="217" spans="1:31" s="76" customFormat="1" x14ac:dyDescent="0.3">
      <c r="A217" s="54" t="s">
        <v>18</v>
      </c>
      <c r="B217" s="54" t="s">
        <v>19</v>
      </c>
      <c r="C217" s="54" t="s">
        <v>20</v>
      </c>
      <c r="D217" s="54" t="s">
        <v>18</v>
      </c>
      <c r="E217" s="54" t="s">
        <v>24</v>
      </c>
      <c r="F217" s="54" t="s">
        <v>18</v>
      </c>
      <c r="G217" s="54" t="s">
        <v>43</v>
      </c>
      <c r="H217" s="54" t="s">
        <v>19</v>
      </c>
      <c r="I217" s="54" t="s">
        <v>24</v>
      </c>
      <c r="J217" s="54" t="s">
        <v>18</v>
      </c>
      <c r="K217" s="54" t="s">
        <v>18</v>
      </c>
      <c r="L217" s="54" t="s">
        <v>20</v>
      </c>
      <c r="M217" s="54" t="s">
        <v>37</v>
      </c>
      <c r="N217" s="54" t="s">
        <v>18</v>
      </c>
      <c r="O217" s="54" t="s">
        <v>177</v>
      </c>
      <c r="P217" s="54" t="s">
        <v>21</v>
      </c>
      <c r="Q217" s="54" t="s">
        <v>25</v>
      </c>
      <c r="R217" s="157"/>
      <c r="S217" s="152"/>
      <c r="T217" s="1">
        <f>18932.6+19997.4+4074.8+2495.5-26-605.7-796.8</f>
        <v>44071.8</v>
      </c>
      <c r="U217" s="1">
        <f>0+14400.7-14400.7</f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59">
        <f t="shared" si="85"/>
        <v>44071.8</v>
      </c>
      <c r="AB217" s="58">
        <v>2018</v>
      </c>
      <c r="AC217" s="33"/>
    </row>
    <row r="218" spans="1:31" s="76" customFormat="1" x14ac:dyDescent="0.3">
      <c r="A218" s="54" t="s">
        <v>18</v>
      </c>
      <c r="B218" s="54" t="s">
        <v>19</v>
      </c>
      <c r="C218" s="54" t="s">
        <v>20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43</v>
      </c>
      <c r="N218" s="54" t="s">
        <v>43</v>
      </c>
      <c r="O218" s="54" t="s">
        <v>43</v>
      </c>
      <c r="P218" s="54" t="s">
        <v>43</v>
      </c>
      <c r="Q218" s="54" t="s">
        <v>43</v>
      </c>
      <c r="R218" s="157"/>
      <c r="S218" s="153"/>
      <c r="T218" s="1">
        <f>2076.9+439-203.1-904.8-121.2</f>
        <v>1286.8000000000002</v>
      </c>
      <c r="U218" s="1">
        <v>579.5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59">
        <f t="shared" si="85"/>
        <v>1866.3000000000002</v>
      </c>
      <c r="AB218" s="58">
        <v>2019</v>
      </c>
      <c r="AC218" s="33"/>
    </row>
    <row r="219" spans="1:31" s="133" customFormat="1" ht="60.6" customHeight="1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8" t="s">
        <v>298</v>
      </c>
      <c r="S219" s="52" t="s">
        <v>52</v>
      </c>
      <c r="T219" s="3">
        <v>58.6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85"/>
        <v>58.6</v>
      </c>
      <c r="AB219" s="41">
        <v>2018</v>
      </c>
      <c r="AC219" s="111"/>
    </row>
    <row r="220" spans="1:31" s="133" customFormat="1" ht="46.8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78" t="s">
        <v>299</v>
      </c>
      <c r="S220" s="52" t="s">
        <v>38</v>
      </c>
      <c r="T220" s="44">
        <v>28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9">
        <f t="shared" si="85"/>
        <v>28</v>
      </c>
      <c r="AB220" s="41">
        <v>2018</v>
      </c>
      <c r="AC220" s="111"/>
      <c r="AD220" s="132"/>
    </row>
    <row r="221" spans="1:31" s="76" customFormat="1" ht="31.2" x14ac:dyDescent="0.3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77" t="s">
        <v>183</v>
      </c>
      <c r="S221" s="55" t="s">
        <v>49</v>
      </c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7">
        <v>1</v>
      </c>
      <c r="AB221" s="58">
        <v>2024</v>
      </c>
      <c r="AC221" s="33"/>
    </row>
    <row r="222" spans="1:31" ht="31.2" x14ac:dyDescent="0.3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78" t="s">
        <v>139</v>
      </c>
      <c r="S222" s="41" t="s">
        <v>50</v>
      </c>
      <c r="T222" s="44">
        <f>25+19+31+16</f>
        <v>91</v>
      </c>
      <c r="U222" s="44">
        <f>6+15+31+5</f>
        <v>57</v>
      </c>
      <c r="V222" s="44">
        <f>50+19+31+70-60-49</f>
        <v>61</v>
      </c>
      <c r="W222" s="44">
        <f t="shared" ref="W222:Z222" si="86">50+19+31+70-60-49</f>
        <v>61</v>
      </c>
      <c r="X222" s="44">
        <f t="shared" si="86"/>
        <v>61</v>
      </c>
      <c r="Y222" s="44">
        <f t="shared" si="86"/>
        <v>61</v>
      </c>
      <c r="Z222" s="44">
        <f t="shared" si="86"/>
        <v>61</v>
      </c>
      <c r="AA222" s="49">
        <f>SUM(T222:Z222)</f>
        <v>453</v>
      </c>
      <c r="AB222" s="41">
        <v>2024</v>
      </c>
      <c r="AC222" s="128"/>
      <c r="AD222" s="101"/>
      <c r="AE222" s="101"/>
    </row>
    <row r="223" spans="1:31" ht="31.2" x14ac:dyDescent="0.3">
      <c r="A223" s="54"/>
      <c r="B223" s="54"/>
      <c r="C223" s="54"/>
      <c r="D223" s="54"/>
      <c r="E223" s="54"/>
      <c r="F223" s="54"/>
      <c r="G223" s="54"/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18</v>
      </c>
      <c r="N223" s="54" t="s">
        <v>18</v>
      </c>
      <c r="O223" s="54" t="s">
        <v>18</v>
      </c>
      <c r="P223" s="54" t="s">
        <v>18</v>
      </c>
      <c r="Q223" s="54" t="s">
        <v>18</v>
      </c>
      <c r="R223" s="77" t="s">
        <v>140</v>
      </c>
      <c r="S223" s="58" t="s">
        <v>0</v>
      </c>
      <c r="T223" s="59">
        <f>T226+T273+T411+T316+T488</f>
        <v>22266.715</v>
      </c>
      <c r="U223" s="59">
        <f>U226+U273+U411+U316+U488</f>
        <v>22466.400000000001</v>
      </c>
      <c r="V223" s="59">
        <f>V226+V273+V411+V316+V488</f>
        <v>7085.3</v>
      </c>
      <c r="W223" s="59">
        <f>W226+W273+W411+W316+W488</f>
        <v>17374.099999999999</v>
      </c>
      <c r="X223" s="59">
        <v>0</v>
      </c>
      <c r="Y223" s="59">
        <v>0</v>
      </c>
      <c r="Z223" s="59">
        <v>8228.2999999999993</v>
      </c>
      <c r="AA223" s="59">
        <f>SUM(T223:Z223)</f>
        <v>77420.815000000017</v>
      </c>
      <c r="AB223" s="58">
        <v>2024</v>
      </c>
      <c r="AC223" s="37"/>
      <c r="AD223" s="101"/>
      <c r="AE223" s="101"/>
    </row>
    <row r="224" spans="1:31" ht="31.2" x14ac:dyDescent="0.3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187</v>
      </c>
      <c r="S224" s="62" t="s">
        <v>52</v>
      </c>
      <c r="T224" s="3">
        <f>T283+T328+T420</f>
        <v>4.4000000000000004</v>
      </c>
      <c r="U224" s="3">
        <f>U283+U328+U420+U236</f>
        <v>4</v>
      </c>
      <c r="V224" s="3">
        <f>V283+V328+V420+V236</f>
        <v>1.7000000000000002</v>
      </c>
      <c r="W224" s="3">
        <f>W283+W328+W420+W236</f>
        <v>5</v>
      </c>
      <c r="X224" s="3">
        <f>X283+X328+X420+X236</f>
        <v>0</v>
      </c>
      <c r="Y224" s="3">
        <f>Y283+Y328+Y420+Y236</f>
        <v>0</v>
      </c>
      <c r="Z224" s="3">
        <v>7</v>
      </c>
      <c r="AA224" s="6">
        <f>SUM(T224:Z224)</f>
        <v>22.1</v>
      </c>
      <c r="AB224" s="41">
        <v>2024</v>
      </c>
      <c r="AC224" s="9"/>
      <c r="AD224" s="101"/>
      <c r="AE224" s="101"/>
    </row>
    <row r="225" spans="1:31" ht="31.2" x14ac:dyDescent="0.3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61" t="s">
        <v>184</v>
      </c>
      <c r="S225" s="41" t="s">
        <v>50</v>
      </c>
      <c r="T225" s="44">
        <f t="shared" ref="T225:Y225" si="87">T237+T284+T329+T422</f>
        <v>30</v>
      </c>
      <c r="U225" s="44">
        <f t="shared" si="87"/>
        <v>22</v>
      </c>
      <c r="V225" s="44">
        <f t="shared" si="87"/>
        <v>7</v>
      </c>
      <c r="W225" s="44">
        <f t="shared" si="87"/>
        <v>15</v>
      </c>
      <c r="X225" s="44">
        <f t="shared" si="87"/>
        <v>0</v>
      </c>
      <c r="Y225" s="44">
        <f t="shared" si="87"/>
        <v>0</v>
      </c>
      <c r="Z225" s="44">
        <v>7</v>
      </c>
      <c r="AA225" s="49">
        <f>SUM(T225:Z225)</f>
        <v>81</v>
      </c>
      <c r="AB225" s="41">
        <v>2024</v>
      </c>
      <c r="AC225" s="9"/>
      <c r="AD225" s="101"/>
      <c r="AE225" s="101"/>
    </row>
    <row r="226" spans="1:31" ht="15.6" customHeight="1" x14ac:dyDescent="0.3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58" t="s">
        <v>140</v>
      </c>
      <c r="S226" s="154" t="s">
        <v>0</v>
      </c>
      <c r="T226" s="59">
        <f t="shared" ref="T226:Z226" si="88">SUM(T227:T231)</f>
        <v>2922.6</v>
      </c>
      <c r="U226" s="59">
        <f t="shared" si="88"/>
        <v>6574.9</v>
      </c>
      <c r="V226" s="59">
        <f t="shared" si="88"/>
        <v>3964.5</v>
      </c>
      <c r="W226" s="59">
        <f>SUM(W227:W234)</f>
        <v>1859.6</v>
      </c>
      <c r="X226" s="59">
        <f t="shared" si="88"/>
        <v>0</v>
      </c>
      <c r="Y226" s="59">
        <f t="shared" si="88"/>
        <v>0</v>
      </c>
      <c r="Z226" s="59">
        <f t="shared" si="88"/>
        <v>0</v>
      </c>
      <c r="AA226" s="59">
        <f>SUM(T226:Z226)</f>
        <v>15321.6</v>
      </c>
      <c r="AB226" s="58">
        <v>2021</v>
      </c>
      <c r="AC226" s="124"/>
      <c r="AD226" s="101"/>
      <c r="AE226" s="101"/>
    </row>
    <row r="227" spans="1:31" x14ac:dyDescent="0.3">
      <c r="A227" s="54" t="s">
        <v>18</v>
      </c>
      <c r="B227" s="54" t="s">
        <v>18</v>
      </c>
      <c r="C227" s="54" t="s">
        <v>22</v>
      </c>
      <c r="D227" s="54" t="s">
        <v>18</v>
      </c>
      <c r="E227" s="54" t="s">
        <v>18</v>
      </c>
      <c r="F227" s="54" t="s">
        <v>18</v>
      </c>
      <c r="G227" s="54" t="s">
        <v>18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24</v>
      </c>
      <c r="P227" s="54" t="s">
        <v>22</v>
      </c>
      <c r="Q227" s="54" t="s">
        <v>45</v>
      </c>
      <c r="R227" s="159"/>
      <c r="S227" s="155"/>
      <c r="T227" s="1">
        <f>T239+T244+T249+T255+T261+T268</f>
        <v>1229.5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59">
        <f t="shared" ref="AA227:AA233" si="89">SUM(T227:Z227)</f>
        <v>1229.5</v>
      </c>
      <c r="AB227" s="58">
        <v>2018</v>
      </c>
      <c r="AC227" s="124"/>
      <c r="AD227" s="101"/>
      <c r="AE227" s="101"/>
    </row>
    <row r="228" spans="1:31" x14ac:dyDescent="0.3">
      <c r="A228" s="54" t="s">
        <v>18</v>
      </c>
      <c r="B228" s="54" t="s">
        <v>18</v>
      </c>
      <c r="C228" s="54" t="s">
        <v>22</v>
      </c>
      <c r="D228" s="54" t="s">
        <v>18</v>
      </c>
      <c r="E228" s="54" t="s">
        <v>18</v>
      </c>
      <c r="F228" s="54" t="s">
        <v>18</v>
      </c>
      <c r="G228" s="54" t="s">
        <v>18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24</v>
      </c>
      <c r="P228" s="54" t="s">
        <v>22</v>
      </c>
      <c r="Q228" s="54" t="s">
        <v>39</v>
      </c>
      <c r="R228" s="159"/>
      <c r="S228" s="155"/>
      <c r="T228" s="1">
        <v>1046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59">
        <f t="shared" si="89"/>
        <v>1046</v>
      </c>
      <c r="AB228" s="58">
        <v>2018</v>
      </c>
      <c r="AC228" s="124"/>
      <c r="AD228" s="101"/>
      <c r="AE228" s="101"/>
    </row>
    <row r="229" spans="1:31" x14ac:dyDescent="0.3">
      <c r="A229" s="54" t="s">
        <v>18</v>
      </c>
      <c r="B229" s="54" t="s">
        <v>18</v>
      </c>
      <c r="C229" s="54" t="s">
        <v>22</v>
      </c>
      <c r="D229" s="54" t="s">
        <v>18</v>
      </c>
      <c r="E229" s="54" t="s">
        <v>18</v>
      </c>
      <c r="F229" s="54" t="s">
        <v>18</v>
      </c>
      <c r="G229" s="54" t="s">
        <v>18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24</v>
      </c>
      <c r="P229" s="54" t="s">
        <v>22</v>
      </c>
      <c r="Q229" s="54" t="s">
        <v>46</v>
      </c>
      <c r="R229" s="159"/>
      <c r="S229" s="155"/>
      <c r="T229" s="1">
        <v>647.1</v>
      </c>
      <c r="U229" s="1">
        <v>1329.9</v>
      </c>
      <c r="V229" s="1">
        <v>949.3</v>
      </c>
      <c r="W229" s="1">
        <v>0</v>
      </c>
      <c r="X229" s="1">
        <v>0</v>
      </c>
      <c r="Y229" s="1">
        <v>0</v>
      </c>
      <c r="Z229" s="1">
        <v>0</v>
      </c>
      <c r="AA229" s="59">
        <f t="shared" si="89"/>
        <v>2926.3</v>
      </c>
      <c r="AB229" s="58">
        <v>2020</v>
      </c>
      <c r="AC229" s="124"/>
      <c r="AD229" s="101"/>
      <c r="AE229" s="101"/>
    </row>
    <row r="230" spans="1:31" x14ac:dyDescent="0.3">
      <c r="A230" s="54" t="s">
        <v>18</v>
      </c>
      <c r="B230" s="54" t="s">
        <v>18</v>
      </c>
      <c r="C230" s="54" t="s">
        <v>22</v>
      </c>
      <c r="D230" s="54" t="s">
        <v>18</v>
      </c>
      <c r="E230" s="54" t="s">
        <v>18</v>
      </c>
      <c r="F230" s="54" t="s">
        <v>18</v>
      </c>
      <c r="G230" s="54" t="s">
        <v>18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19</v>
      </c>
      <c r="N230" s="54" t="s">
        <v>18</v>
      </c>
      <c r="O230" s="54" t="s">
        <v>24</v>
      </c>
      <c r="P230" s="54" t="s">
        <v>22</v>
      </c>
      <c r="Q230" s="54" t="s">
        <v>18</v>
      </c>
      <c r="R230" s="159"/>
      <c r="S230" s="155"/>
      <c r="T230" s="1">
        <v>0</v>
      </c>
      <c r="U230" s="1">
        <f>2901-2.9</f>
        <v>2898.1</v>
      </c>
      <c r="V230" s="1">
        <f>1721.3-1721.3</f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9"/>
        <v>2898.1</v>
      </c>
      <c r="AB230" s="58">
        <v>2020</v>
      </c>
      <c r="AC230" s="124"/>
      <c r="AD230" s="101"/>
      <c r="AE230" s="101"/>
    </row>
    <row r="231" spans="1:31" x14ac:dyDescent="0.3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18</v>
      </c>
      <c r="F231" s="54" t="s">
        <v>18</v>
      </c>
      <c r="G231" s="54" t="s">
        <v>18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37</v>
      </c>
      <c r="N231" s="54" t="s">
        <v>18</v>
      </c>
      <c r="O231" s="54" t="s">
        <v>24</v>
      </c>
      <c r="P231" s="54" t="s">
        <v>22</v>
      </c>
      <c r="Q231" s="54" t="s">
        <v>18</v>
      </c>
      <c r="R231" s="159"/>
      <c r="S231" s="155"/>
      <c r="T231" s="1">
        <v>0</v>
      </c>
      <c r="U231" s="1">
        <f>2375.1-28.2</f>
        <v>2346.9</v>
      </c>
      <c r="V231" s="1">
        <f>1518.9+1643.8-147.5</f>
        <v>3015.2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89"/>
        <v>5362.1</v>
      </c>
      <c r="AB231" s="58">
        <v>2020</v>
      </c>
      <c r="AC231" s="124"/>
      <c r="AD231" s="101"/>
      <c r="AE231" s="101"/>
    </row>
    <row r="232" spans="1:31" x14ac:dyDescent="0.3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18</v>
      </c>
      <c r="F232" s="54" t="s">
        <v>18</v>
      </c>
      <c r="G232" s="54" t="s">
        <v>18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43</v>
      </c>
      <c r="O232" s="54" t="s">
        <v>18</v>
      </c>
      <c r="P232" s="54" t="s">
        <v>18</v>
      </c>
      <c r="Q232" s="54" t="s">
        <v>18</v>
      </c>
      <c r="R232" s="159"/>
      <c r="S232" s="155"/>
      <c r="T232" s="1">
        <v>0</v>
      </c>
      <c r="U232" s="1">
        <v>0</v>
      </c>
      <c r="V232" s="1">
        <v>0</v>
      </c>
      <c r="W232" s="1">
        <v>600</v>
      </c>
      <c r="X232" s="1">
        <v>0</v>
      </c>
      <c r="Y232" s="1">
        <v>0</v>
      </c>
      <c r="Z232" s="1">
        <v>0</v>
      </c>
      <c r="AA232" s="59">
        <f t="shared" si="89"/>
        <v>600</v>
      </c>
      <c r="AB232" s="58">
        <v>2021</v>
      </c>
      <c r="AC232" s="124"/>
      <c r="AD232" s="101"/>
      <c r="AE232" s="101"/>
    </row>
    <row r="233" spans="1:31" x14ac:dyDescent="0.3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18</v>
      </c>
      <c r="F233" s="54" t="s">
        <v>18</v>
      </c>
      <c r="G233" s="54" t="s">
        <v>18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19</v>
      </c>
      <c r="N233" s="54" t="s">
        <v>43</v>
      </c>
      <c r="O233" s="54" t="s">
        <v>18</v>
      </c>
      <c r="P233" s="54" t="s">
        <v>18</v>
      </c>
      <c r="Q233" s="54" t="s">
        <v>18</v>
      </c>
      <c r="R233" s="159"/>
      <c r="S233" s="155"/>
      <c r="T233" s="1">
        <v>0</v>
      </c>
      <c r="U233" s="1">
        <v>0</v>
      </c>
      <c r="V233" s="1">
        <v>0</v>
      </c>
      <c r="W233" s="1">
        <v>600</v>
      </c>
      <c r="X233" s="1">
        <v>0</v>
      </c>
      <c r="Y233" s="1">
        <v>0</v>
      </c>
      <c r="Z233" s="1">
        <v>0</v>
      </c>
      <c r="AA233" s="59">
        <f t="shared" si="89"/>
        <v>600</v>
      </c>
      <c r="AB233" s="58">
        <v>2021</v>
      </c>
      <c r="AC233" s="124"/>
      <c r="AD233" s="101"/>
      <c r="AE233" s="101"/>
    </row>
    <row r="234" spans="1:31" x14ac:dyDescent="0.3">
      <c r="A234" s="54" t="s">
        <v>18</v>
      </c>
      <c r="B234" s="54" t="s">
        <v>18</v>
      </c>
      <c r="C234" s="54" t="s">
        <v>22</v>
      </c>
      <c r="D234" s="54" t="s">
        <v>18</v>
      </c>
      <c r="E234" s="54" t="s">
        <v>18</v>
      </c>
      <c r="F234" s="54" t="s">
        <v>18</v>
      </c>
      <c r="G234" s="54" t="s">
        <v>18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37</v>
      </c>
      <c r="N234" s="54" t="s">
        <v>43</v>
      </c>
      <c r="O234" s="54" t="s">
        <v>46</v>
      </c>
      <c r="P234" s="54" t="s">
        <v>18</v>
      </c>
      <c r="Q234" s="54" t="s">
        <v>18</v>
      </c>
      <c r="R234" s="160"/>
      <c r="S234" s="156"/>
      <c r="T234" s="1">
        <v>0</v>
      </c>
      <c r="U234" s="1">
        <v>0</v>
      </c>
      <c r="V234" s="1">
        <v>0</v>
      </c>
      <c r="W234" s="1">
        <v>659.6</v>
      </c>
      <c r="X234" s="1">
        <v>0</v>
      </c>
      <c r="Y234" s="1">
        <v>0</v>
      </c>
      <c r="Z234" s="1">
        <v>0</v>
      </c>
      <c r="AA234" s="59">
        <f>SUM(T234:Z234)</f>
        <v>659.6</v>
      </c>
      <c r="AB234" s="58">
        <v>2021</v>
      </c>
      <c r="AC234" s="124"/>
      <c r="AD234" s="101"/>
      <c r="AE234" s="101"/>
    </row>
    <row r="235" spans="1:31" ht="46.8" x14ac:dyDescent="0.3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78" t="s">
        <v>264</v>
      </c>
      <c r="S235" s="62" t="s">
        <v>52</v>
      </c>
      <c r="T235" s="3">
        <v>8.8000000000000007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6">
        <f>SUM(T235:Z235)</f>
        <v>8.8000000000000007</v>
      </c>
      <c r="AB235" s="41">
        <v>2018</v>
      </c>
      <c r="AC235" s="128"/>
      <c r="AD235" s="101"/>
      <c r="AE235" s="101"/>
    </row>
    <row r="236" spans="1:31" ht="46.8" x14ac:dyDescent="0.3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0" t="s">
        <v>307</v>
      </c>
      <c r="S236" s="62" t="s">
        <v>52</v>
      </c>
      <c r="T236" s="3">
        <v>0</v>
      </c>
      <c r="U236" s="3">
        <v>1</v>
      </c>
      <c r="V236" s="3">
        <v>1.1000000000000001</v>
      </c>
      <c r="W236" s="3">
        <v>1.2</v>
      </c>
      <c r="X236" s="3">
        <v>0</v>
      </c>
      <c r="Y236" s="3">
        <v>0</v>
      </c>
      <c r="Z236" s="3">
        <v>0</v>
      </c>
      <c r="AA236" s="6">
        <f t="shared" ref="AA236" si="90">SUM(T236:Z236)</f>
        <v>3.3</v>
      </c>
      <c r="AB236" s="41">
        <v>2021</v>
      </c>
      <c r="AC236" s="128"/>
      <c r="AD236" s="101"/>
      <c r="AE236" s="101"/>
    </row>
    <row r="237" spans="1:31" ht="46.8" x14ac:dyDescent="0.3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78" t="s">
        <v>308</v>
      </c>
      <c r="S237" s="84" t="s">
        <v>50</v>
      </c>
      <c r="T237" s="44">
        <v>3</v>
      </c>
      <c r="U237" s="44">
        <v>6</v>
      </c>
      <c r="V237" s="44">
        <v>4</v>
      </c>
      <c r="W237" s="44">
        <v>1</v>
      </c>
      <c r="X237" s="44">
        <v>0</v>
      </c>
      <c r="Y237" s="44">
        <v>0</v>
      </c>
      <c r="Z237" s="44">
        <v>0</v>
      </c>
      <c r="AA237" s="49">
        <f>SUM(T237:Z237)</f>
        <v>14</v>
      </c>
      <c r="AB237" s="41">
        <v>2021</v>
      </c>
      <c r="AC237" s="128"/>
      <c r="AD237" s="101"/>
      <c r="AE237" s="101"/>
    </row>
    <row r="238" spans="1:31" ht="15.6" hidden="1" customHeight="1" x14ac:dyDescent="0.3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57" t="s">
        <v>188</v>
      </c>
      <c r="S238" s="63" t="s">
        <v>0</v>
      </c>
      <c r="T238" s="1">
        <f>SUM(T239:T241)</f>
        <v>998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ref="AA238:AA342" si="91">SUM(T238:Y238)</f>
        <v>998</v>
      </c>
      <c r="AB238" s="58">
        <v>2018</v>
      </c>
      <c r="AC238" s="87"/>
      <c r="AD238" s="101">
        <f>T239+T244+T249+T255+T261+T268+T286+T292+T297+T302+T307+T312+T331+T337+T344+T351+T358+T365+T372+T379+T386+T393+T399+T405+T424+T430+T436+T442+T448+T454+T459+T465+T471+T477+T483</f>
        <v>9265.1149999999998</v>
      </c>
      <c r="AE238" s="101"/>
    </row>
    <row r="239" spans="1:31" ht="15.6" hidden="1" customHeight="1" x14ac:dyDescent="0.3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21</v>
      </c>
      <c r="F239" s="54" t="s">
        <v>18</v>
      </c>
      <c r="G239" s="54" t="s">
        <v>22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19</v>
      </c>
      <c r="N239" s="54" t="s">
        <v>18</v>
      </c>
      <c r="O239" s="54" t="s">
        <v>24</v>
      </c>
      <c r="P239" s="54" t="s">
        <v>22</v>
      </c>
      <c r="Q239" s="54" t="s">
        <v>45</v>
      </c>
      <c r="R239" s="157"/>
      <c r="S239" s="63" t="s">
        <v>0</v>
      </c>
      <c r="T239" s="1">
        <v>399.2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59">
        <f t="shared" si="91"/>
        <v>399.2</v>
      </c>
      <c r="AB239" s="58">
        <v>2018</v>
      </c>
      <c r="AC239" s="9"/>
      <c r="AD239" s="101">
        <f>T240+T245+T250+T251+T256+T257+T262+T263+T269+T270+T288+T293+T298+T303+T308+T313+T333+T332+T340+T339+T347+T346+T354+T353+T361+T360+T368+T367+T375+T374+T381+T382+T388+T395+T401+T407+T408+T425+T426+T431+T432+T437+T438+T443+T444+T449+T450+T455+T460+T461+T466+T467+T472+T473+T478+T479+T484+T485+T389</f>
        <v>4643.8</v>
      </c>
      <c r="AE239" s="101"/>
    </row>
    <row r="240" spans="1:31" ht="15.6" hidden="1" customHeight="1" x14ac:dyDescent="0.3">
      <c r="A240" s="54" t="s">
        <v>18</v>
      </c>
      <c r="B240" s="54" t="s">
        <v>18</v>
      </c>
      <c r="C240" s="54" t="s">
        <v>22</v>
      </c>
      <c r="D240" s="54" t="s">
        <v>18</v>
      </c>
      <c r="E240" s="54" t="s">
        <v>21</v>
      </c>
      <c r="F240" s="54" t="s">
        <v>18</v>
      </c>
      <c r="G240" s="54" t="s">
        <v>22</v>
      </c>
      <c r="H240" s="54" t="s">
        <v>19</v>
      </c>
      <c r="I240" s="54" t="s">
        <v>24</v>
      </c>
      <c r="J240" s="54" t="s">
        <v>18</v>
      </c>
      <c r="K240" s="54" t="s">
        <v>18</v>
      </c>
      <c r="L240" s="54" t="s">
        <v>20</v>
      </c>
      <c r="M240" s="54" t="s">
        <v>37</v>
      </c>
      <c r="N240" s="54" t="s">
        <v>18</v>
      </c>
      <c r="O240" s="54" t="s">
        <v>24</v>
      </c>
      <c r="P240" s="54" t="s">
        <v>22</v>
      </c>
      <c r="Q240" s="54" t="s">
        <v>46</v>
      </c>
      <c r="R240" s="157"/>
      <c r="S240" s="63" t="s">
        <v>0</v>
      </c>
      <c r="T240" s="1">
        <v>199.6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1"/>
        <v>199.6</v>
      </c>
      <c r="AB240" s="58">
        <v>2018</v>
      </c>
      <c r="AC240" s="9"/>
      <c r="AD240" s="101">
        <f>T241+T246+T252+T258+T264+T271+T289+T294+T299+T304+T309+T314+T334+T341+T348+T355+T362+T369+T376+T383+T390+T396+T402+T409+T427+T433+T439+T445+T451+T456+T462+T468+T474+T480+T486</f>
        <v>9745.0000000000018</v>
      </c>
      <c r="AE240" s="101"/>
    </row>
    <row r="241" spans="1:31" ht="15.6" hidden="1" customHeight="1" x14ac:dyDescent="0.3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37</v>
      </c>
      <c r="N241" s="54" t="s">
        <v>18</v>
      </c>
      <c r="O241" s="54" t="s">
        <v>24</v>
      </c>
      <c r="P241" s="54" t="s">
        <v>22</v>
      </c>
      <c r="Q241" s="54" t="s">
        <v>39</v>
      </c>
      <c r="R241" s="157"/>
      <c r="S241" s="63" t="s">
        <v>0</v>
      </c>
      <c r="T241" s="1">
        <v>399.2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1"/>
        <v>399.2</v>
      </c>
      <c r="AB241" s="58">
        <v>2018</v>
      </c>
      <c r="AC241" s="9"/>
      <c r="AD241" s="101">
        <f>T287+T338+T345+T352+T359+T366+T373+T380+T387+T394+T400+T406</f>
        <v>380</v>
      </c>
      <c r="AE241" s="101"/>
    </row>
    <row r="242" spans="1:31" ht="31.2" hidden="1" customHeight="1" x14ac:dyDescent="0.3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0" t="s">
        <v>189</v>
      </c>
      <c r="S242" s="84" t="s">
        <v>175</v>
      </c>
      <c r="T242" s="3">
        <v>8750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6">
        <f t="shared" si="91"/>
        <v>8750</v>
      </c>
      <c r="AB242" s="41">
        <v>2018</v>
      </c>
      <c r="AC242" s="9"/>
      <c r="AD242" s="101">
        <f>SUM(AD238:AD241)</f>
        <v>24033.915000000001</v>
      </c>
      <c r="AE242" s="101"/>
    </row>
    <row r="243" spans="1:31" ht="15.6" hidden="1" customHeight="1" x14ac:dyDescent="0.3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57" t="s">
        <v>190</v>
      </c>
      <c r="S243" s="63" t="s">
        <v>0</v>
      </c>
      <c r="T243" s="1">
        <f>SUM(T244:T246)</f>
        <v>150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1"/>
        <v>150</v>
      </c>
      <c r="AB243" s="58">
        <v>2018</v>
      </c>
      <c r="AC243" s="9"/>
      <c r="AD243" s="101"/>
      <c r="AE243" s="101"/>
    </row>
    <row r="244" spans="1:31" ht="15.6" hidden="1" customHeight="1" x14ac:dyDescent="0.3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19</v>
      </c>
      <c r="N244" s="54" t="s">
        <v>18</v>
      </c>
      <c r="O244" s="54" t="s">
        <v>24</v>
      </c>
      <c r="P244" s="54" t="s">
        <v>22</v>
      </c>
      <c r="Q244" s="54" t="s">
        <v>45</v>
      </c>
      <c r="R244" s="157"/>
      <c r="S244" s="63" t="s">
        <v>0</v>
      </c>
      <c r="T244" s="1">
        <v>60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1"/>
        <v>60</v>
      </c>
      <c r="AB244" s="58">
        <v>2018</v>
      </c>
      <c r="AC244" s="9"/>
      <c r="AD244" s="101"/>
      <c r="AE244" s="101"/>
    </row>
    <row r="245" spans="1:31" ht="15.6" hidden="1" customHeight="1" x14ac:dyDescent="0.3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21</v>
      </c>
      <c r="F245" s="54" t="s">
        <v>18</v>
      </c>
      <c r="G245" s="54" t="s">
        <v>22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18</v>
      </c>
      <c r="O245" s="54" t="s">
        <v>24</v>
      </c>
      <c r="P245" s="54" t="s">
        <v>22</v>
      </c>
      <c r="Q245" s="54" t="s">
        <v>46</v>
      </c>
      <c r="R245" s="157"/>
      <c r="S245" s="63" t="s">
        <v>0</v>
      </c>
      <c r="T245" s="1">
        <v>30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59">
        <f t="shared" si="91"/>
        <v>30</v>
      </c>
      <c r="AB245" s="58">
        <v>2018</v>
      </c>
      <c r="AC245" s="9"/>
      <c r="AD245" s="101"/>
      <c r="AE245" s="101"/>
    </row>
    <row r="246" spans="1:31" ht="15.6" hidden="1" customHeight="1" x14ac:dyDescent="0.3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21</v>
      </c>
      <c r="F246" s="54" t="s">
        <v>18</v>
      </c>
      <c r="G246" s="54" t="s">
        <v>22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37</v>
      </c>
      <c r="N246" s="54" t="s">
        <v>18</v>
      </c>
      <c r="O246" s="54" t="s">
        <v>24</v>
      </c>
      <c r="P246" s="54" t="s">
        <v>22</v>
      </c>
      <c r="Q246" s="54" t="s">
        <v>39</v>
      </c>
      <c r="R246" s="157"/>
      <c r="S246" s="63" t="s">
        <v>0</v>
      </c>
      <c r="T246" s="1">
        <v>60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1"/>
        <v>60</v>
      </c>
      <c r="AB246" s="58">
        <v>2018</v>
      </c>
      <c r="AC246" s="9"/>
      <c r="AD246" s="101"/>
      <c r="AE246" s="101"/>
    </row>
    <row r="247" spans="1:31" ht="46.95" hidden="1" customHeight="1" x14ac:dyDescent="0.3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80" t="s">
        <v>191</v>
      </c>
      <c r="S247" s="84" t="s">
        <v>50</v>
      </c>
      <c r="T247" s="44">
        <v>7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9">
        <f t="shared" si="91"/>
        <v>7</v>
      </c>
      <c r="AB247" s="41">
        <v>2018</v>
      </c>
      <c r="AC247" s="9"/>
      <c r="AD247" s="101"/>
      <c r="AE247" s="101"/>
    </row>
    <row r="248" spans="1:31" ht="15.6" hidden="1" customHeight="1" x14ac:dyDescent="0.3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57" t="s">
        <v>192</v>
      </c>
      <c r="S248" s="63" t="s">
        <v>0</v>
      </c>
      <c r="T248" s="1">
        <f>SUM(T249:T252)</f>
        <v>1031.5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1"/>
        <v>1031.5</v>
      </c>
      <c r="AB248" s="58">
        <v>2018</v>
      </c>
      <c r="AC248" s="9"/>
      <c r="AD248" s="101"/>
      <c r="AE248" s="101"/>
    </row>
    <row r="249" spans="1:31" ht="15.6" hidden="1" customHeight="1" x14ac:dyDescent="0.3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45</v>
      </c>
      <c r="R249" s="157"/>
      <c r="S249" s="63" t="s">
        <v>0</v>
      </c>
      <c r="T249" s="1">
        <v>400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1"/>
        <v>400</v>
      </c>
      <c r="AB249" s="58">
        <v>2018</v>
      </c>
      <c r="AC249" s="9"/>
      <c r="AD249" s="101"/>
      <c r="AE249" s="101"/>
    </row>
    <row r="250" spans="1:31" ht="15.6" hidden="1" customHeight="1" x14ac:dyDescent="0.3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46</v>
      </c>
      <c r="R250" s="157"/>
      <c r="S250" s="63" t="s">
        <v>0</v>
      </c>
      <c r="T250" s="1">
        <v>2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1"/>
        <v>2</v>
      </c>
      <c r="AB250" s="58">
        <v>2018</v>
      </c>
      <c r="AC250" s="9"/>
      <c r="AD250" s="101"/>
      <c r="AE250" s="101"/>
    </row>
    <row r="251" spans="1:31" ht="15.6" hidden="1" customHeight="1" x14ac:dyDescent="0.3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21</v>
      </c>
      <c r="F251" s="54" t="s">
        <v>18</v>
      </c>
      <c r="G251" s="54" t="s">
        <v>22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46</v>
      </c>
      <c r="R251" s="157"/>
      <c r="S251" s="63" t="s">
        <v>0</v>
      </c>
      <c r="T251" s="1">
        <v>229.5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1"/>
        <v>229.5</v>
      </c>
      <c r="AB251" s="58">
        <v>2018</v>
      </c>
      <c r="AC251" s="9"/>
      <c r="AD251" s="101"/>
      <c r="AE251" s="101"/>
    </row>
    <row r="252" spans="1:31" ht="15.6" hidden="1" customHeight="1" x14ac:dyDescent="0.3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21</v>
      </c>
      <c r="F252" s="54" t="s">
        <v>18</v>
      </c>
      <c r="G252" s="54" t="s">
        <v>22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18</v>
      </c>
      <c r="O252" s="54" t="s">
        <v>24</v>
      </c>
      <c r="P252" s="54" t="s">
        <v>22</v>
      </c>
      <c r="Q252" s="54" t="s">
        <v>39</v>
      </c>
      <c r="R252" s="157"/>
      <c r="S252" s="63" t="s">
        <v>0</v>
      </c>
      <c r="T252" s="1">
        <v>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1"/>
        <v>400</v>
      </c>
      <c r="AB252" s="58">
        <v>2018</v>
      </c>
      <c r="AC252" s="9"/>
      <c r="AD252" s="101"/>
      <c r="AE252" s="101"/>
    </row>
    <row r="253" spans="1:31" ht="45.6" hidden="1" customHeight="1" x14ac:dyDescent="0.3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80" t="s">
        <v>193</v>
      </c>
      <c r="S253" s="84" t="s">
        <v>50</v>
      </c>
      <c r="T253" s="44">
        <v>44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9">
        <f t="shared" si="91"/>
        <v>44</v>
      </c>
      <c r="AB253" s="41">
        <v>2018</v>
      </c>
      <c r="AC253" s="9"/>
      <c r="AD253" s="101"/>
      <c r="AE253" s="101"/>
    </row>
    <row r="254" spans="1:31" ht="15.6" hidden="1" customHeight="1" x14ac:dyDescent="0.3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57" t="s">
        <v>194</v>
      </c>
      <c r="S254" s="63" t="s">
        <v>0</v>
      </c>
      <c r="T254" s="1">
        <f>SUM(T255:T258)</f>
        <v>613.5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1"/>
        <v>613.5</v>
      </c>
      <c r="AB254" s="58">
        <v>2018</v>
      </c>
      <c r="AC254" s="9"/>
      <c r="AD254" s="101"/>
      <c r="AE254" s="101"/>
    </row>
    <row r="255" spans="1:31" ht="15.6" hidden="1" customHeight="1" x14ac:dyDescent="0.3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19</v>
      </c>
      <c r="N255" s="54" t="s">
        <v>18</v>
      </c>
      <c r="O255" s="54" t="s">
        <v>24</v>
      </c>
      <c r="P255" s="54" t="s">
        <v>22</v>
      </c>
      <c r="Q255" s="54" t="s">
        <v>45</v>
      </c>
      <c r="R255" s="157"/>
      <c r="S255" s="63" t="s">
        <v>0</v>
      </c>
      <c r="T255" s="1">
        <v>245.4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1"/>
        <v>245.4</v>
      </c>
      <c r="AB255" s="58">
        <v>2018</v>
      </c>
      <c r="AC255" s="9"/>
      <c r="AD255" s="101"/>
      <c r="AE255" s="101"/>
    </row>
    <row r="256" spans="1:31" ht="15.6" hidden="1" customHeight="1" x14ac:dyDescent="0.3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46</v>
      </c>
      <c r="R256" s="157"/>
      <c r="S256" s="63" t="s">
        <v>0</v>
      </c>
      <c r="T256" s="1">
        <v>60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1"/>
        <v>60</v>
      </c>
      <c r="AB256" s="58">
        <v>2018</v>
      </c>
      <c r="AC256" s="9"/>
      <c r="AD256" s="101"/>
      <c r="AE256" s="101"/>
    </row>
    <row r="257" spans="1:31" ht="15.6" hidden="1" customHeight="1" x14ac:dyDescent="0.3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37</v>
      </c>
      <c r="N257" s="54" t="s">
        <v>18</v>
      </c>
      <c r="O257" s="54" t="s">
        <v>24</v>
      </c>
      <c r="P257" s="54" t="s">
        <v>22</v>
      </c>
      <c r="Q257" s="54" t="s">
        <v>46</v>
      </c>
      <c r="R257" s="157"/>
      <c r="S257" s="63" t="s">
        <v>0</v>
      </c>
      <c r="T257" s="1">
        <v>62.7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1"/>
        <v>62.7</v>
      </c>
      <c r="AB257" s="58">
        <v>2018</v>
      </c>
      <c r="AC257" s="9"/>
      <c r="AD257" s="101"/>
      <c r="AE257" s="101"/>
    </row>
    <row r="258" spans="1:31" ht="15.6" hidden="1" customHeight="1" x14ac:dyDescent="0.3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37</v>
      </c>
      <c r="N258" s="54" t="s">
        <v>18</v>
      </c>
      <c r="O258" s="54" t="s">
        <v>24</v>
      </c>
      <c r="P258" s="54" t="s">
        <v>22</v>
      </c>
      <c r="Q258" s="54" t="s">
        <v>39</v>
      </c>
      <c r="R258" s="157"/>
      <c r="S258" s="63" t="s">
        <v>0</v>
      </c>
      <c r="T258" s="1">
        <v>245.4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1"/>
        <v>245.4</v>
      </c>
      <c r="AB258" s="58">
        <v>2018</v>
      </c>
      <c r="AC258" s="9"/>
      <c r="AD258" s="101"/>
      <c r="AE258" s="101"/>
    </row>
    <row r="259" spans="1:31" ht="46.95" hidden="1" customHeight="1" x14ac:dyDescent="0.3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0" t="s">
        <v>195</v>
      </c>
      <c r="S259" s="84" t="s">
        <v>50</v>
      </c>
      <c r="T259" s="44">
        <v>26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9">
        <f t="shared" si="91"/>
        <v>26</v>
      </c>
      <c r="AB259" s="41">
        <v>2018</v>
      </c>
      <c r="AC259" s="9"/>
      <c r="AD259" s="101"/>
      <c r="AE259" s="101"/>
    </row>
    <row r="260" spans="1:31" ht="15.6" hidden="1" customHeight="1" x14ac:dyDescent="0.3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57" t="s">
        <v>196</v>
      </c>
      <c r="S260" s="63" t="s">
        <v>0</v>
      </c>
      <c r="T260" s="1">
        <f>SUM(T261:T264)</f>
        <v>194.7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1"/>
        <v>194.7</v>
      </c>
      <c r="AB260" s="58">
        <v>2018</v>
      </c>
      <c r="AC260" s="9"/>
      <c r="AD260" s="101"/>
      <c r="AE260" s="101"/>
    </row>
    <row r="261" spans="1:31" ht="15.6" hidden="1" customHeight="1" x14ac:dyDescent="0.3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19</v>
      </c>
      <c r="N261" s="54" t="s">
        <v>18</v>
      </c>
      <c r="O261" s="54" t="s">
        <v>24</v>
      </c>
      <c r="P261" s="54" t="s">
        <v>22</v>
      </c>
      <c r="Q261" s="54" t="s">
        <v>45</v>
      </c>
      <c r="R261" s="157"/>
      <c r="S261" s="63" t="s">
        <v>0</v>
      </c>
      <c r="T261" s="1">
        <v>77.3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1"/>
        <v>77.3</v>
      </c>
      <c r="AB261" s="58">
        <v>2018</v>
      </c>
      <c r="AC261" s="9"/>
      <c r="AD261" s="101"/>
      <c r="AE261" s="101"/>
    </row>
    <row r="262" spans="1:31" ht="15.6" hidden="1" customHeight="1" x14ac:dyDescent="0.3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21</v>
      </c>
      <c r="F262" s="54" t="s">
        <v>18</v>
      </c>
      <c r="G262" s="54" t="s">
        <v>22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7"/>
      <c r="S262" s="63" t="s">
        <v>0</v>
      </c>
      <c r="T262" s="1">
        <v>20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1"/>
        <v>20</v>
      </c>
      <c r="AB262" s="58">
        <v>2018</v>
      </c>
      <c r="AC262" s="9"/>
      <c r="AD262" s="101"/>
      <c r="AE262" s="101"/>
    </row>
    <row r="263" spans="1:31" ht="15.6" hidden="1" customHeight="1" x14ac:dyDescent="0.3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57"/>
      <c r="S263" s="63" t="s">
        <v>0</v>
      </c>
      <c r="T263" s="1">
        <v>19.5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1"/>
        <v>19.5</v>
      </c>
      <c r="AB263" s="58">
        <v>2018</v>
      </c>
      <c r="AC263" s="9"/>
      <c r="AD263" s="101"/>
      <c r="AE263" s="101"/>
    </row>
    <row r="264" spans="1:31" ht="15.6" hidden="1" customHeight="1" x14ac:dyDescent="0.3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39</v>
      </c>
      <c r="R264" s="157"/>
      <c r="S264" s="63" t="s">
        <v>0</v>
      </c>
      <c r="T264" s="1">
        <v>77.900000000000006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1"/>
        <v>77.900000000000006</v>
      </c>
      <c r="AB264" s="58">
        <v>2018</v>
      </c>
      <c r="AC264" s="9"/>
      <c r="AD264" s="101"/>
      <c r="AE264" s="101"/>
    </row>
    <row r="265" spans="1:31" s="72" customFormat="1" ht="31.2" hidden="1" customHeight="1" x14ac:dyDescent="0.3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80" t="s">
        <v>197</v>
      </c>
      <c r="S265" s="52" t="s">
        <v>50</v>
      </c>
      <c r="T265" s="44">
        <v>1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9">
        <f t="shared" si="91"/>
        <v>1</v>
      </c>
      <c r="AB265" s="41">
        <v>2018</v>
      </c>
      <c r="AC265" s="70"/>
      <c r="AD265" s="85"/>
      <c r="AE265" s="85"/>
    </row>
    <row r="266" spans="1:31" ht="31.2" hidden="1" customHeight="1" x14ac:dyDescent="0.3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198</v>
      </c>
      <c r="S266" s="84" t="s">
        <v>176</v>
      </c>
      <c r="T266" s="3">
        <v>15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91"/>
        <v>15</v>
      </c>
      <c r="AB266" s="41">
        <v>2018</v>
      </c>
      <c r="AC266" s="9"/>
      <c r="AD266" s="101"/>
      <c r="AE266" s="101"/>
    </row>
    <row r="267" spans="1:31" ht="15.6" hidden="1" customHeight="1" x14ac:dyDescent="0.3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57" t="s">
        <v>199</v>
      </c>
      <c r="S267" s="63" t="s">
        <v>0</v>
      </c>
      <c r="T267" s="1">
        <f>SUM(T268:T271)</f>
        <v>119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1"/>
        <v>119</v>
      </c>
      <c r="AB267" s="58">
        <v>2018</v>
      </c>
      <c r="AC267" s="9"/>
      <c r="AD267" s="101"/>
      <c r="AE267" s="101"/>
    </row>
    <row r="268" spans="1:31" ht="15.6" hidden="1" customHeight="1" x14ac:dyDescent="0.3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24</v>
      </c>
      <c r="F268" s="54" t="s">
        <v>18</v>
      </c>
      <c r="G268" s="54" t="s">
        <v>43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57"/>
      <c r="S268" s="63" t="s">
        <v>0</v>
      </c>
      <c r="T268" s="1">
        <v>47.6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1"/>
        <v>47.6</v>
      </c>
      <c r="AB268" s="58">
        <v>2018</v>
      </c>
      <c r="AC268" s="9"/>
      <c r="AD268" s="101"/>
      <c r="AE268" s="101"/>
    </row>
    <row r="269" spans="1:31" ht="15.6" hidden="1" customHeight="1" x14ac:dyDescent="0.3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24</v>
      </c>
      <c r="F269" s="54" t="s">
        <v>18</v>
      </c>
      <c r="G269" s="54" t="s">
        <v>43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57"/>
      <c r="S269" s="63" t="s">
        <v>0</v>
      </c>
      <c r="T269" s="1">
        <v>11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1"/>
        <v>11</v>
      </c>
      <c r="AB269" s="58">
        <v>2018</v>
      </c>
      <c r="AC269" s="9"/>
      <c r="AD269" s="101"/>
      <c r="AE269" s="101"/>
    </row>
    <row r="270" spans="1:31" ht="15.6" hidden="1" customHeight="1" x14ac:dyDescent="0.3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24</v>
      </c>
      <c r="F270" s="54" t="s">
        <v>18</v>
      </c>
      <c r="G270" s="54" t="s">
        <v>43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57"/>
      <c r="S270" s="63" t="s">
        <v>0</v>
      </c>
      <c r="T270" s="1">
        <v>12.8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1"/>
        <v>12.8</v>
      </c>
      <c r="AB270" s="58">
        <v>2018</v>
      </c>
      <c r="AC270" s="9"/>
      <c r="AD270" s="101"/>
      <c r="AE270" s="101"/>
    </row>
    <row r="271" spans="1:31" ht="15.6" hidden="1" customHeight="1" x14ac:dyDescent="0.3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24</v>
      </c>
      <c r="F271" s="54" t="s">
        <v>18</v>
      </c>
      <c r="G271" s="54" t="s">
        <v>43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57"/>
      <c r="S271" s="63" t="s">
        <v>0</v>
      </c>
      <c r="T271" s="1">
        <v>47.6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1"/>
        <v>47.6</v>
      </c>
      <c r="AB271" s="58">
        <v>2018</v>
      </c>
      <c r="AC271" s="9"/>
      <c r="AD271" s="101"/>
      <c r="AE271" s="101"/>
    </row>
    <row r="272" spans="1:31" s="72" customFormat="1" ht="46.95" hidden="1" customHeight="1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78" t="s">
        <v>200</v>
      </c>
      <c r="S272" s="89" t="s">
        <v>175</v>
      </c>
      <c r="T272" s="3">
        <v>65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49">
        <f t="shared" si="91"/>
        <v>65</v>
      </c>
      <c r="AB272" s="41">
        <v>2018</v>
      </c>
      <c r="AC272" s="70"/>
      <c r="AD272" s="85"/>
      <c r="AE272" s="85"/>
    </row>
    <row r="273" spans="1:31" ht="15.6" customHeight="1" x14ac:dyDescent="0.3">
      <c r="A273" s="54" t="s">
        <v>18</v>
      </c>
      <c r="B273" s="54" t="s">
        <v>18</v>
      </c>
      <c r="C273" s="54" t="s">
        <v>24</v>
      </c>
      <c r="D273" s="54" t="s">
        <v>18</v>
      </c>
      <c r="E273" s="54" t="s">
        <v>18</v>
      </c>
      <c r="F273" s="54" t="s">
        <v>18</v>
      </c>
      <c r="G273" s="54" t="s">
        <v>18</v>
      </c>
      <c r="H273" s="54" t="s">
        <v>19</v>
      </c>
      <c r="I273" s="54" t="s">
        <v>24</v>
      </c>
      <c r="J273" s="54" t="s">
        <v>18</v>
      </c>
      <c r="K273" s="54" t="s">
        <v>18</v>
      </c>
      <c r="L273" s="54" t="s">
        <v>20</v>
      </c>
      <c r="M273" s="54" t="s">
        <v>18</v>
      </c>
      <c r="N273" s="54" t="s">
        <v>18</v>
      </c>
      <c r="O273" s="54" t="s">
        <v>18</v>
      </c>
      <c r="P273" s="54" t="s">
        <v>18</v>
      </c>
      <c r="Q273" s="54" t="s">
        <v>18</v>
      </c>
      <c r="R273" s="158" t="s">
        <v>140</v>
      </c>
      <c r="S273" s="154" t="s">
        <v>0</v>
      </c>
      <c r="T273" s="59">
        <f>SUM(T274:T277)</f>
        <v>3440.1</v>
      </c>
      <c r="U273" s="59">
        <f>SUM(U276:U279)</f>
        <v>3636.2999999999997</v>
      </c>
      <c r="V273" s="59">
        <f>SUM(V274:V279)</f>
        <v>1375.3</v>
      </c>
      <c r="W273" s="59">
        <f>SUM(W274:W282)</f>
        <v>7141.3</v>
      </c>
      <c r="X273" s="59">
        <f t="shared" ref="X273:Z273" si="92">SUM(X274:X282)</f>
        <v>0</v>
      </c>
      <c r="Y273" s="59">
        <f t="shared" si="92"/>
        <v>0</v>
      </c>
      <c r="Z273" s="59">
        <f t="shared" si="92"/>
        <v>0</v>
      </c>
      <c r="AA273" s="59">
        <f>SUM(T273:Z273)</f>
        <v>15593</v>
      </c>
      <c r="AB273" s="58">
        <v>2021</v>
      </c>
      <c r="AC273" s="124"/>
      <c r="AD273" s="101"/>
      <c r="AE273" s="101"/>
    </row>
    <row r="274" spans="1:31" x14ac:dyDescent="0.3">
      <c r="A274" s="54" t="s">
        <v>18</v>
      </c>
      <c r="B274" s="54" t="s">
        <v>18</v>
      </c>
      <c r="C274" s="54" t="s">
        <v>24</v>
      </c>
      <c r="D274" s="54" t="s">
        <v>18</v>
      </c>
      <c r="E274" s="54" t="s">
        <v>18</v>
      </c>
      <c r="F274" s="54" t="s">
        <v>18</v>
      </c>
      <c r="G274" s="54" t="s">
        <v>18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59"/>
      <c r="S274" s="155"/>
      <c r="T274" s="1">
        <f>T286+T292+T297+T302+T307+T312</f>
        <v>1609.7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ref="AA274:AA282" si="93">SUM(T274:Z274)</f>
        <v>1609.7</v>
      </c>
      <c r="AB274" s="58">
        <v>2018</v>
      </c>
      <c r="AC274" s="124"/>
      <c r="AD274" s="101"/>
      <c r="AE274" s="101"/>
    </row>
    <row r="275" spans="1:31" ht="15.6" hidden="1" customHeight="1" x14ac:dyDescent="0.3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18</v>
      </c>
      <c r="F275" s="54" t="s">
        <v>18</v>
      </c>
      <c r="G275" s="54" t="s">
        <v>18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43</v>
      </c>
      <c r="P275" s="54" t="s">
        <v>22</v>
      </c>
      <c r="Q275" s="54" t="s">
        <v>178</v>
      </c>
      <c r="R275" s="159"/>
      <c r="S275" s="155"/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3"/>
        <v>0</v>
      </c>
      <c r="AB275" s="58">
        <v>2018</v>
      </c>
      <c r="AC275" s="124"/>
      <c r="AD275" s="101"/>
      <c r="AE275" s="101"/>
    </row>
    <row r="276" spans="1:31" x14ac:dyDescent="0.3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18</v>
      </c>
      <c r="F276" s="54" t="s">
        <v>18</v>
      </c>
      <c r="G276" s="54" t="s">
        <v>18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59"/>
      <c r="S276" s="155"/>
      <c r="T276" s="1">
        <f>T288+T293+T298+T303+T308+T313</f>
        <v>441.79999999999995</v>
      </c>
      <c r="U276" s="1">
        <v>394.2</v>
      </c>
      <c r="V276" s="1">
        <v>235.1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3"/>
        <v>1071.0999999999999</v>
      </c>
      <c r="AB276" s="58">
        <v>2020</v>
      </c>
      <c r="AC276" s="124"/>
      <c r="AD276" s="101"/>
      <c r="AE276" s="101"/>
    </row>
    <row r="277" spans="1:31" x14ac:dyDescent="0.3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18</v>
      </c>
      <c r="F277" s="54" t="s">
        <v>18</v>
      </c>
      <c r="G277" s="54" t="s">
        <v>18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59"/>
      <c r="S277" s="155"/>
      <c r="T277" s="1">
        <v>1388.6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3"/>
        <v>1388.6</v>
      </c>
      <c r="AB277" s="58">
        <v>2018</v>
      </c>
      <c r="AC277" s="124"/>
      <c r="AD277" s="101"/>
      <c r="AE277" s="101"/>
    </row>
    <row r="278" spans="1:31" x14ac:dyDescent="0.3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18</v>
      </c>
      <c r="F278" s="54" t="s">
        <v>18</v>
      </c>
      <c r="G278" s="54" t="s">
        <v>18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19</v>
      </c>
      <c r="N278" s="54" t="s">
        <v>18</v>
      </c>
      <c r="O278" s="54" t="s">
        <v>24</v>
      </c>
      <c r="P278" s="54" t="s">
        <v>22</v>
      </c>
      <c r="Q278" s="54" t="s">
        <v>18</v>
      </c>
      <c r="R278" s="159"/>
      <c r="S278" s="155"/>
      <c r="T278" s="1">
        <v>0</v>
      </c>
      <c r="U278" s="1">
        <f>1865.4-95.4</f>
        <v>1770</v>
      </c>
      <c r="V278" s="1">
        <f>600-600</f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3"/>
        <v>1770</v>
      </c>
      <c r="AB278" s="58">
        <v>2020</v>
      </c>
      <c r="AC278" s="124"/>
      <c r="AD278" s="101"/>
      <c r="AE278" s="101"/>
    </row>
    <row r="279" spans="1:31" x14ac:dyDescent="0.3">
      <c r="A279" s="54" t="s">
        <v>18</v>
      </c>
      <c r="B279" s="54" t="s">
        <v>18</v>
      </c>
      <c r="C279" s="54" t="s">
        <v>24</v>
      </c>
      <c r="D279" s="54" t="s">
        <v>18</v>
      </c>
      <c r="E279" s="54" t="s">
        <v>18</v>
      </c>
      <c r="F279" s="54" t="s">
        <v>18</v>
      </c>
      <c r="G279" s="54" t="s">
        <v>18</v>
      </c>
      <c r="H279" s="54" t="s">
        <v>19</v>
      </c>
      <c r="I279" s="54" t="s">
        <v>24</v>
      </c>
      <c r="J279" s="54" t="s">
        <v>18</v>
      </c>
      <c r="K279" s="54" t="s">
        <v>18</v>
      </c>
      <c r="L279" s="54" t="s">
        <v>20</v>
      </c>
      <c r="M279" s="54" t="s">
        <v>37</v>
      </c>
      <c r="N279" s="54" t="s">
        <v>18</v>
      </c>
      <c r="O279" s="54" t="s">
        <v>24</v>
      </c>
      <c r="P279" s="54" t="s">
        <v>22</v>
      </c>
      <c r="Q279" s="54" t="s">
        <v>18</v>
      </c>
      <c r="R279" s="159"/>
      <c r="S279" s="155"/>
      <c r="T279" s="1">
        <v>0</v>
      </c>
      <c r="U279" s="1">
        <v>1472.1</v>
      </c>
      <c r="V279" s="1">
        <f>540.2+600</f>
        <v>1140.2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3"/>
        <v>2612.3000000000002</v>
      </c>
      <c r="AB279" s="58">
        <v>2020</v>
      </c>
      <c r="AC279" s="124"/>
      <c r="AD279" s="101"/>
      <c r="AE279" s="101"/>
    </row>
    <row r="280" spans="1:31" x14ac:dyDescent="0.3">
      <c r="A280" s="54" t="s">
        <v>18</v>
      </c>
      <c r="B280" s="54" t="s">
        <v>18</v>
      </c>
      <c r="C280" s="54" t="s">
        <v>24</v>
      </c>
      <c r="D280" s="54" t="s">
        <v>18</v>
      </c>
      <c r="E280" s="54" t="s">
        <v>18</v>
      </c>
      <c r="F280" s="54" t="s">
        <v>18</v>
      </c>
      <c r="G280" s="54" t="s">
        <v>18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37</v>
      </c>
      <c r="N280" s="54" t="s">
        <v>43</v>
      </c>
      <c r="O280" s="54" t="s">
        <v>18</v>
      </c>
      <c r="P280" s="54" t="s">
        <v>18</v>
      </c>
      <c r="Q280" s="54" t="s">
        <v>18</v>
      </c>
      <c r="R280" s="159"/>
      <c r="S280" s="155"/>
      <c r="T280" s="1">
        <v>0</v>
      </c>
      <c r="U280" s="1">
        <v>0</v>
      </c>
      <c r="V280" s="1">
        <v>0</v>
      </c>
      <c r="W280" s="1">
        <v>2000.4</v>
      </c>
      <c r="X280" s="1">
        <v>0</v>
      </c>
      <c r="Y280" s="1">
        <v>0</v>
      </c>
      <c r="Z280" s="1">
        <v>0</v>
      </c>
      <c r="AA280" s="59">
        <f t="shared" si="93"/>
        <v>2000.4</v>
      </c>
      <c r="AB280" s="58">
        <v>2021</v>
      </c>
      <c r="AC280" s="124"/>
      <c r="AD280" s="101"/>
      <c r="AE280" s="101"/>
    </row>
    <row r="281" spans="1:31" x14ac:dyDescent="0.3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18</v>
      </c>
      <c r="F281" s="54" t="s">
        <v>18</v>
      </c>
      <c r="G281" s="54" t="s">
        <v>18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43</v>
      </c>
      <c r="O281" s="54" t="s">
        <v>18</v>
      </c>
      <c r="P281" s="54" t="s">
        <v>18</v>
      </c>
      <c r="Q281" s="54" t="s">
        <v>18</v>
      </c>
      <c r="R281" s="159"/>
      <c r="S281" s="155"/>
      <c r="T281" s="1">
        <v>0</v>
      </c>
      <c r="U281" s="1">
        <v>0</v>
      </c>
      <c r="V281" s="1">
        <v>0</v>
      </c>
      <c r="W281" s="1">
        <v>4045.4</v>
      </c>
      <c r="X281" s="1">
        <v>0</v>
      </c>
      <c r="Y281" s="1">
        <v>0</v>
      </c>
      <c r="Z281" s="1">
        <v>0</v>
      </c>
      <c r="AA281" s="59">
        <f t="shared" si="93"/>
        <v>4045.4</v>
      </c>
      <c r="AB281" s="58">
        <v>2021</v>
      </c>
      <c r="AC281" s="124"/>
      <c r="AD281" s="101"/>
      <c r="AE281" s="101"/>
    </row>
    <row r="282" spans="1:31" x14ac:dyDescent="0.3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18</v>
      </c>
      <c r="F282" s="54" t="s">
        <v>18</v>
      </c>
      <c r="G282" s="54" t="s">
        <v>18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43</v>
      </c>
      <c r="O282" s="54" t="s">
        <v>46</v>
      </c>
      <c r="P282" s="54" t="s">
        <v>18</v>
      </c>
      <c r="Q282" s="54" t="s">
        <v>18</v>
      </c>
      <c r="R282" s="160"/>
      <c r="S282" s="156"/>
      <c r="T282" s="1">
        <v>0</v>
      </c>
      <c r="U282" s="1">
        <v>0</v>
      </c>
      <c r="V282" s="1">
        <v>0</v>
      </c>
      <c r="W282" s="1">
        <v>1095.5</v>
      </c>
      <c r="X282" s="1">
        <v>0</v>
      </c>
      <c r="Y282" s="1">
        <v>0</v>
      </c>
      <c r="Z282" s="1">
        <v>0</v>
      </c>
      <c r="AA282" s="59">
        <f t="shared" si="93"/>
        <v>1095.5</v>
      </c>
      <c r="AB282" s="58">
        <v>2021</v>
      </c>
      <c r="AC282" s="124"/>
      <c r="AD282" s="101"/>
      <c r="AE282" s="101"/>
    </row>
    <row r="283" spans="1:31" ht="46.8" x14ac:dyDescent="0.3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80" t="s">
        <v>309</v>
      </c>
      <c r="S283" s="62" t="s">
        <v>52</v>
      </c>
      <c r="T283" s="3">
        <v>0.2</v>
      </c>
      <c r="U283" s="3">
        <v>1.2</v>
      </c>
      <c r="V283" s="3">
        <v>0</v>
      </c>
      <c r="W283" s="3">
        <v>1.2</v>
      </c>
      <c r="X283" s="3">
        <v>0</v>
      </c>
      <c r="Y283" s="3">
        <v>0</v>
      </c>
      <c r="Z283" s="3">
        <v>0</v>
      </c>
      <c r="AA283" s="6">
        <f t="shared" si="91"/>
        <v>2.5999999999999996</v>
      </c>
      <c r="AB283" s="41">
        <v>2021</v>
      </c>
      <c r="AC283" s="128"/>
      <c r="AD283" s="101"/>
      <c r="AE283" s="101"/>
    </row>
    <row r="284" spans="1:31" ht="46.8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310</v>
      </c>
      <c r="S284" s="84" t="s">
        <v>50</v>
      </c>
      <c r="T284" s="44">
        <v>6</v>
      </c>
      <c r="U284" s="44">
        <v>5</v>
      </c>
      <c r="V284" s="44">
        <v>1</v>
      </c>
      <c r="W284" s="44">
        <v>8</v>
      </c>
      <c r="X284" s="44">
        <v>0</v>
      </c>
      <c r="Y284" s="44">
        <v>0</v>
      </c>
      <c r="Z284" s="44">
        <v>0</v>
      </c>
      <c r="AA284" s="49">
        <f t="shared" si="91"/>
        <v>20</v>
      </c>
      <c r="AB284" s="41">
        <v>2021</v>
      </c>
      <c r="AC284" s="128"/>
      <c r="AD284" s="101"/>
      <c r="AE284" s="101"/>
    </row>
    <row r="285" spans="1:31" ht="16.350000000000001" hidden="1" customHeight="1" x14ac:dyDescent="0.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57" t="s">
        <v>201</v>
      </c>
      <c r="S285" s="63" t="s">
        <v>0</v>
      </c>
      <c r="T285" s="1">
        <f>SUM(T286:T289)</f>
        <v>943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si="91"/>
        <v>943</v>
      </c>
      <c r="AB285" s="58">
        <v>2018</v>
      </c>
      <c r="AC285" s="9"/>
      <c r="AD285" s="101"/>
      <c r="AE285" s="101"/>
    </row>
    <row r="286" spans="1:31" ht="16.350000000000001" hidden="1" customHeight="1" x14ac:dyDescent="0.3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24</v>
      </c>
      <c r="F286" s="54" t="s">
        <v>18</v>
      </c>
      <c r="G286" s="54" t="s">
        <v>43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57"/>
      <c r="S286" s="63" t="s">
        <v>0</v>
      </c>
      <c r="T286" s="1">
        <v>377.2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1"/>
        <v>377.2</v>
      </c>
      <c r="AB286" s="58">
        <v>2018</v>
      </c>
      <c r="AC286" s="9"/>
      <c r="AD286" s="101"/>
      <c r="AE286" s="101"/>
    </row>
    <row r="287" spans="1:31" ht="16.350000000000001" hidden="1" customHeight="1" x14ac:dyDescent="0.3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43</v>
      </c>
      <c r="P287" s="54" t="s">
        <v>22</v>
      </c>
      <c r="Q287" s="54" t="s">
        <v>178</v>
      </c>
      <c r="R287" s="157"/>
      <c r="S287" s="63" t="s">
        <v>0</v>
      </c>
      <c r="T287" s="1">
        <v>30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1"/>
        <v>30</v>
      </c>
      <c r="AB287" s="58">
        <v>2018</v>
      </c>
      <c r="AC287" s="9"/>
      <c r="AD287" s="101"/>
      <c r="AE287" s="101"/>
    </row>
    <row r="288" spans="1:31" ht="16.350000000000001" hidden="1" customHeight="1" x14ac:dyDescent="0.3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57"/>
      <c r="S288" s="63" t="s">
        <v>0</v>
      </c>
      <c r="T288" s="1">
        <v>113.2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1"/>
        <v>113.2</v>
      </c>
      <c r="AB288" s="58">
        <v>2018</v>
      </c>
      <c r="AC288" s="9"/>
      <c r="AD288" s="101"/>
      <c r="AE288" s="101"/>
    </row>
    <row r="289" spans="1:31" ht="16.350000000000001" hidden="1" customHeight="1" x14ac:dyDescent="0.3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39</v>
      </c>
      <c r="R289" s="157"/>
      <c r="S289" s="63" t="s">
        <v>0</v>
      </c>
      <c r="T289" s="1">
        <v>422.6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1"/>
        <v>422.6</v>
      </c>
      <c r="AB289" s="58">
        <v>2018</v>
      </c>
      <c r="AC289" s="9"/>
      <c r="AD289" s="101"/>
      <c r="AE289" s="101"/>
    </row>
    <row r="290" spans="1:31" ht="33.6" hidden="1" customHeight="1" x14ac:dyDescent="0.3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8" t="s">
        <v>202</v>
      </c>
      <c r="S290" s="84" t="s">
        <v>175</v>
      </c>
      <c r="T290" s="3">
        <v>1046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91"/>
        <v>1046</v>
      </c>
      <c r="AB290" s="41">
        <v>2018</v>
      </c>
      <c r="AC290" s="9"/>
      <c r="AD290" s="101"/>
      <c r="AE290" s="101"/>
    </row>
    <row r="291" spans="1:31" ht="21.75" hidden="1" customHeight="1" x14ac:dyDescent="0.3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57" t="s">
        <v>203</v>
      </c>
      <c r="S291" s="63" t="s">
        <v>0</v>
      </c>
      <c r="T291" s="1">
        <f>SUM(T292:T294)</f>
        <v>835.4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>SUM(T291:Y291)</f>
        <v>835.4</v>
      </c>
      <c r="AB291" s="58">
        <v>2018</v>
      </c>
      <c r="AC291" s="9"/>
      <c r="AD291" s="101"/>
      <c r="AE291" s="101"/>
    </row>
    <row r="292" spans="1:31" ht="22.95" hidden="1" customHeight="1" x14ac:dyDescent="0.3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19</v>
      </c>
      <c r="N292" s="54" t="s">
        <v>18</v>
      </c>
      <c r="O292" s="54" t="s">
        <v>24</v>
      </c>
      <c r="P292" s="54" t="s">
        <v>22</v>
      </c>
      <c r="Q292" s="54" t="s">
        <v>45</v>
      </c>
      <c r="R292" s="157"/>
      <c r="S292" s="63" t="s">
        <v>0</v>
      </c>
      <c r="T292" s="1">
        <v>334.2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>SUM(T292:Y292)</f>
        <v>334.2</v>
      </c>
      <c r="AB292" s="58">
        <v>2018</v>
      </c>
      <c r="AC292" s="9"/>
      <c r="AD292" s="101"/>
      <c r="AE292" s="101"/>
    </row>
    <row r="293" spans="1:31" ht="22.2" hidden="1" customHeight="1" x14ac:dyDescent="0.3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46</v>
      </c>
      <c r="R293" s="157"/>
      <c r="S293" s="63" t="s">
        <v>0</v>
      </c>
      <c r="T293" s="1">
        <v>83.5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>SUM(T293:Y293)</f>
        <v>83.5</v>
      </c>
      <c r="AB293" s="58">
        <v>2018</v>
      </c>
      <c r="AC293" s="9"/>
      <c r="AD293" s="101"/>
      <c r="AE293" s="101"/>
    </row>
    <row r="294" spans="1:31" ht="21.75" hidden="1" customHeight="1" x14ac:dyDescent="0.3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21</v>
      </c>
      <c r="F294" s="54" t="s">
        <v>18</v>
      </c>
      <c r="G294" s="54" t="s">
        <v>22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24</v>
      </c>
      <c r="P294" s="54" t="s">
        <v>22</v>
      </c>
      <c r="Q294" s="54" t="s">
        <v>39</v>
      </c>
      <c r="R294" s="157"/>
      <c r="S294" s="63" t="s">
        <v>0</v>
      </c>
      <c r="T294" s="1">
        <v>417.7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>SUM(T294:Y294)</f>
        <v>417.7</v>
      </c>
      <c r="AB294" s="58">
        <v>2018</v>
      </c>
      <c r="AC294" s="9"/>
      <c r="AD294" s="101"/>
      <c r="AE294" s="101"/>
    </row>
    <row r="295" spans="1:31" ht="47.4" hidden="1" customHeight="1" x14ac:dyDescent="0.3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8" t="s">
        <v>204</v>
      </c>
      <c r="S295" s="84" t="s">
        <v>8</v>
      </c>
      <c r="T295" s="44">
        <v>1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6">
        <f>SUM(T295:Y295)</f>
        <v>1</v>
      </c>
      <c r="AB295" s="41">
        <v>2018</v>
      </c>
      <c r="AC295" s="9"/>
      <c r="AD295" s="101"/>
      <c r="AE295" s="101"/>
    </row>
    <row r="296" spans="1:31" ht="16.350000000000001" hidden="1" customHeight="1" x14ac:dyDescent="0.3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57" t="s">
        <v>205</v>
      </c>
      <c r="S296" s="63" t="s">
        <v>0</v>
      </c>
      <c r="T296" s="1">
        <f>SUM(T297:T299)</f>
        <v>952.5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ref="AA296:AA329" si="94">SUM(T296:Y296)</f>
        <v>952.5</v>
      </c>
      <c r="AB296" s="58">
        <v>2018</v>
      </c>
      <c r="AC296" s="9"/>
      <c r="AD296" s="101"/>
      <c r="AE296" s="101"/>
    </row>
    <row r="297" spans="1:31" ht="16.350000000000001" hidden="1" customHeight="1" x14ac:dyDescent="0.3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45</v>
      </c>
      <c r="R297" s="157"/>
      <c r="S297" s="63" t="s">
        <v>0</v>
      </c>
      <c r="T297" s="1">
        <v>381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4"/>
        <v>381</v>
      </c>
      <c r="AB297" s="58">
        <v>2018</v>
      </c>
      <c r="AC297" s="9"/>
      <c r="AD297" s="101"/>
      <c r="AE297" s="101"/>
    </row>
    <row r="298" spans="1:31" ht="16.350000000000001" hidden="1" customHeight="1" x14ac:dyDescent="0.3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46</v>
      </c>
      <c r="R298" s="157"/>
      <c r="S298" s="63" t="s">
        <v>0</v>
      </c>
      <c r="T298" s="1">
        <v>114.3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4"/>
        <v>114.3</v>
      </c>
      <c r="AB298" s="58">
        <v>2018</v>
      </c>
      <c r="AC298" s="9"/>
      <c r="AD298" s="101"/>
      <c r="AE298" s="101"/>
    </row>
    <row r="299" spans="1:31" ht="16.350000000000001" hidden="1" customHeight="1" x14ac:dyDescent="0.3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21</v>
      </c>
      <c r="F299" s="54" t="s">
        <v>18</v>
      </c>
      <c r="G299" s="54" t="s">
        <v>22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39</v>
      </c>
      <c r="R299" s="157"/>
      <c r="S299" s="63" t="s">
        <v>0</v>
      </c>
      <c r="T299" s="1">
        <v>457.2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4"/>
        <v>457.2</v>
      </c>
      <c r="AB299" s="58">
        <v>2018</v>
      </c>
      <c r="AC299" s="9"/>
      <c r="AD299" s="101"/>
      <c r="AE299" s="101"/>
    </row>
    <row r="300" spans="1:31" ht="31.2" hidden="1" customHeight="1" x14ac:dyDescent="0.3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0" t="s">
        <v>206</v>
      </c>
      <c r="S300" s="84" t="s">
        <v>175</v>
      </c>
      <c r="T300" s="3">
        <v>151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94"/>
        <v>151</v>
      </c>
      <c r="AB300" s="41">
        <v>2018</v>
      </c>
      <c r="AC300" s="9"/>
      <c r="AD300" s="101"/>
      <c r="AE300" s="101"/>
    </row>
    <row r="301" spans="1:31" ht="15.6" hidden="1" customHeight="1" x14ac:dyDescent="0.3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57" t="s">
        <v>207</v>
      </c>
      <c r="S301" s="63" t="s">
        <v>0</v>
      </c>
      <c r="T301" s="1">
        <f>SUM(T302:T304)</f>
        <v>435.8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94"/>
        <v>435.8</v>
      </c>
      <c r="AB301" s="58">
        <v>2018</v>
      </c>
      <c r="AC301" s="9"/>
      <c r="AD301" s="101"/>
      <c r="AE301" s="101"/>
    </row>
    <row r="302" spans="1:31" ht="15.6" hidden="1" customHeight="1" x14ac:dyDescent="0.3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19</v>
      </c>
      <c r="N302" s="54" t="s">
        <v>18</v>
      </c>
      <c r="O302" s="54" t="s">
        <v>24</v>
      </c>
      <c r="P302" s="54" t="s">
        <v>22</v>
      </c>
      <c r="Q302" s="54" t="s">
        <v>45</v>
      </c>
      <c r="R302" s="157"/>
      <c r="S302" s="63" t="s">
        <v>0</v>
      </c>
      <c r="T302" s="1">
        <v>174.3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94"/>
        <v>174.3</v>
      </c>
      <c r="AB302" s="58">
        <v>2018</v>
      </c>
      <c r="AC302" s="9"/>
      <c r="AD302" s="101"/>
      <c r="AE302" s="101"/>
    </row>
    <row r="303" spans="1:31" ht="15.6" hidden="1" customHeight="1" x14ac:dyDescent="0.3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46</v>
      </c>
      <c r="R303" s="157"/>
      <c r="S303" s="63" t="s">
        <v>0</v>
      </c>
      <c r="T303" s="1">
        <v>45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94"/>
        <v>45</v>
      </c>
      <c r="AB303" s="58">
        <v>2018</v>
      </c>
      <c r="AC303" s="9"/>
      <c r="AD303" s="101"/>
      <c r="AE303" s="101"/>
    </row>
    <row r="304" spans="1:31" ht="15.6" hidden="1" customHeight="1" x14ac:dyDescent="0.3">
      <c r="A304" s="54" t="s">
        <v>18</v>
      </c>
      <c r="B304" s="54" t="s">
        <v>18</v>
      </c>
      <c r="C304" s="54" t="s">
        <v>24</v>
      </c>
      <c r="D304" s="54" t="s">
        <v>18</v>
      </c>
      <c r="E304" s="54" t="s">
        <v>21</v>
      </c>
      <c r="F304" s="54" t="s">
        <v>18</v>
      </c>
      <c r="G304" s="54" t="s">
        <v>22</v>
      </c>
      <c r="H304" s="54" t="s">
        <v>19</v>
      </c>
      <c r="I304" s="54" t="s">
        <v>24</v>
      </c>
      <c r="J304" s="54" t="s">
        <v>18</v>
      </c>
      <c r="K304" s="54" t="s">
        <v>18</v>
      </c>
      <c r="L304" s="54" t="s">
        <v>20</v>
      </c>
      <c r="M304" s="54" t="s">
        <v>37</v>
      </c>
      <c r="N304" s="54" t="s">
        <v>18</v>
      </c>
      <c r="O304" s="54" t="s">
        <v>24</v>
      </c>
      <c r="P304" s="54" t="s">
        <v>22</v>
      </c>
      <c r="Q304" s="54" t="s">
        <v>39</v>
      </c>
      <c r="R304" s="157"/>
      <c r="S304" s="63" t="s">
        <v>0</v>
      </c>
      <c r="T304" s="1">
        <v>216.5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216.5</v>
      </c>
      <c r="AB304" s="58">
        <v>2018</v>
      </c>
      <c r="AC304" s="9"/>
      <c r="AD304" s="101"/>
      <c r="AE304" s="101"/>
    </row>
    <row r="305" spans="1:31" ht="46.95" hidden="1" customHeight="1" x14ac:dyDescent="0.3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0" t="s">
        <v>208</v>
      </c>
      <c r="S305" s="84" t="s">
        <v>50</v>
      </c>
      <c r="T305" s="44">
        <v>16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9">
        <f t="shared" si="94"/>
        <v>16</v>
      </c>
      <c r="AB305" s="41">
        <v>2018</v>
      </c>
      <c r="AC305" s="9"/>
      <c r="AD305" s="101"/>
      <c r="AE305" s="101"/>
    </row>
    <row r="306" spans="1:31" ht="15.6" hidden="1" customHeight="1" x14ac:dyDescent="0.3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57" t="s">
        <v>209</v>
      </c>
      <c r="S306" s="63" t="s">
        <v>0</v>
      </c>
      <c r="T306" s="1">
        <f>SUM(T307:T309)</f>
        <v>349.1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349.1</v>
      </c>
      <c r="AB306" s="58">
        <v>2018</v>
      </c>
      <c r="AC306" s="9"/>
      <c r="AD306" s="101"/>
      <c r="AE306" s="101"/>
    </row>
    <row r="307" spans="1:31" ht="15.6" hidden="1" customHeight="1" x14ac:dyDescent="0.3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21</v>
      </c>
      <c r="F307" s="54" t="s">
        <v>18</v>
      </c>
      <c r="G307" s="54" t="s">
        <v>22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24</v>
      </c>
      <c r="P307" s="54" t="s">
        <v>22</v>
      </c>
      <c r="Q307" s="54" t="s">
        <v>45</v>
      </c>
      <c r="R307" s="157"/>
      <c r="S307" s="63" t="s">
        <v>0</v>
      </c>
      <c r="T307" s="1">
        <v>139.6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139.6</v>
      </c>
      <c r="AB307" s="58">
        <v>2018</v>
      </c>
      <c r="AC307" s="9"/>
      <c r="AD307" s="101"/>
      <c r="AE307" s="101"/>
    </row>
    <row r="308" spans="1:31" ht="15.6" hidden="1" customHeight="1" x14ac:dyDescent="0.3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21</v>
      </c>
      <c r="F308" s="54" t="s">
        <v>18</v>
      </c>
      <c r="G308" s="54" t="s">
        <v>22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57"/>
      <c r="S308" s="63" t="s">
        <v>0</v>
      </c>
      <c r="T308" s="1">
        <v>34.9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34.9</v>
      </c>
      <c r="AB308" s="58">
        <v>2018</v>
      </c>
      <c r="AC308" s="9"/>
      <c r="AD308" s="101"/>
      <c r="AE308" s="101"/>
    </row>
    <row r="309" spans="1:31" ht="15.6" hidden="1" customHeight="1" x14ac:dyDescent="0.3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21</v>
      </c>
      <c r="F309" s="54" t="s">
        <v>18</v>
      </c>
      <c r="G309" s="54" t="s">
        <v>22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57"/>
      <c r="S309" s="63" t="s">
        <v>0</v>
      </c>
      <c r="T309" s="1">
        <v>174.6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174.6</v>
      </c>
      <c r="AB309" s="58">
        <v>2018</v>
      </c>
      <c r="AC309" s="9"/>
      <c r="AD309" s="101"/>
      <c r="AE309" s="101"/>
    </row>
    <row r="310" spans="1:31" ht="30.6" hidden="1" customHeight="1" x14ac:dyDescent="0.3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0" t="s">
        <v>210</v>
      </c>
      <c r="S310" s="84" t="s">
        <v>176</v>
      </c>
      <c r="T310" s="3">
        <v>49.7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49.7</v>
      </c>
      <c r="AB310" s="41">
        <v>2018</v>
      </c>
      <c r="AC310" s="9"/>
      <c r="AD310" s="101"/>
      <c r="AE310" s="101"/>
    </row>
    <row r="311" spans="1:31" ht="15.6" hidden="1" customHeight="1" x14ac:dyDescent="0.3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57" t="s">
        <v>211</v>
      </c>
      <c r="S311" s="63" t="s">
        <v>0</v>
      </c>
      <c r="T311" s="1">
        <f>SUM(T312:T314)</f>
        <v>508.5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94"/>
        <v>508.5</v>
      </c>
      <c r="AB311" s="58">
        <v>2018</v>
      </c>
      <c r="AC311" s="9"/>
      <c r="AD311" s="101"/>
      <c r="AE311" s="101"/>
    </row>
    <row r="312" spans="1:31" ht="15.6" hidden="1" customHeight="1" x14ac:dyDescent="0.3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57"/>
      <c r="S312" s="63" t="s">
        <v>0</v>
      </c>
      <c r="T312" s="1">
        <v>203.4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si="94"/>
        <v>203.4</v>
      </c>
      <c r="AB312" s="58">
        <v>2018</v>
      </c>
      <c r="AC312" s="9"/>
      <c r="AD312" s="101"/>
      <c r="AE312" s="101"/>
    </row>
    <row r="313" spans="1:31" ht="15.6" hidden="1" customHeight="1" x14ac:dyDescent="0.3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57"/>
      <c r="S313" s="63" t="s">
        <v>0</v>
      </c>
      <c r="T313" s="1">
        <v>50.9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 t="shared" si="94"/>
        <v>50.9</v>
      </c>
      <c r="AB313" s="58">
        <v>2018</v>
      </c>
      <c r="AC313" s="9"/>
      <c r="AD313" s="101"/>
      <c r="AE313" s="101"/>
    </row>
    <row r="314" spans="1:31" ht="15.6" hidden="1" customHeight="1" x14ac:dyDescent="0.3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57"/>
      <c r="S314" s="63" t="s">
        <v>0</v>
      </c>
      <c r="T314" s="1">
        <v>254.2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 t="shared" si="94"/>
        <v>254.2</v>
      </c>
      <c r="AB314" s="58">
        <v>2018</v>
      </c>
      <c r="AC314" s="9"/>
      <c r="AD314" s="101"/>
      <c r="AE314" s="101"/>
    </row>
    <row r="315" spans="1:31" ht="31.2" hidden="1" customHeight="1" x14ac:dyDescent="0.3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0" t="s">
        <v>212</v>
      </c>
      <c r="S315" s="84" t="s">
        <v>176</v>
      </c>
      <c r="T315" s="3">
        <v>88.3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6">
        <f t="shared" si="94"/>
        <v>88.3</v>
      </c>
      <c r="AB315" s="41">
        <v>2018</v>
      </c>
      <c r="AC315" s="9"/>
      <c r="AD315" s="101"/>
      <c r="AE315" s="101"/>
    </row>
    <row r="316" spans="1:31" ht="15.6" customHeight="1" x14ac:dyDescent="0.3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18</v>
      </c>
      <c r="F316" s="54" t="s">
        <v>18</v>
      </c>
      <c r="G316" s="54" t="s">
        <v>18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18</v>
      </c>
      <c r="N316" s="54" t="s">
        <v>18</v>
      </c>
      <c r="O316" s="54" t="s">
        <v>18</v>
      </c>
      <c r="P316" s="54" t="s">
        <v>18</v>
      </c>
      <c r="Q316" s="54" t="s">
        <v>18</v>
      </c>
      <c r="R316" s="158" t="s">
        <v>140</v>
      </c>
      <c r="S316" s="154" t="s">
        <v>0</v>
      </c>
      <c r="T316" s="59">
        <f>SUM(T317:T320)</f>
        <v>8990.0999999999985</v>
      </c>
      <c r="U316" s="59">
        <f>SUM(U317:U323)</f>
        <v>8489.7000000000007</v>
      </c>
      <c r="V316" s="59">
        <v>0</v>
      </c>
      <c r="W316" s="59">
        <f>SUM(W317:W327)</f>
        <v>6534.5</v>
      </c>
      <c r="X316" s="59">
        <f t="shared" ref="X316:Z316" si="95">SUM(X317:X327)</f>
        <v>0</v>
      </c>
      <c r="Y316" s="59">
        <f t="shared" si="95"/>
        <v>0</v>
      </c>
      <c r="Z316" s="59">
        <f t="shared" si="95"/>
        <v>0</v>
      </c>
      <c r="AA316" s="59">
        <f>SUM(T316:Z316)</f>
        <v>24014.3</v>
      </c>
      <c r="AB316" s="58">
        <v>2021</v>
      </c>
      <c r="AC316" s="124"/>
      <c r="AD316" s="101"/>
      <c r="AE316" s="101"/>
    </row>
    <row r="317" spans="1:31" x14ac:dyDescent="0.3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18</v>
      </c>
      <c r="F317" s="54" t="s">
        <v>18</v>
      </c>
      <c r="G317" s="54" t="s">
        <v>18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59"/>
      <c r="S317" s="155"/>
      <c r="T317" s="1">
        <f>T331+T337+T344+T351+T358+T365+T372+T379+T386+T393+T399+T405</f>
        <v>3538.9999999999995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ref="AA317:AA327" si="96">SUM(T317:Z317)</f>
        <v>3538.9999999999995</v>
      </c>
      <c r="AB317" s="58">
        <v>2018</v>
      </c>
      <c r="AC317" s="124"/>
      <c r="AD317" s="101"/>
      <c r="AE317" s="101"/>
    </row>
    <row r="318" spans="1:31" x14ac:dyDescent="0.3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18</v>
      </c>
      <c r="F318" s="54" t="s">
        <v>18</v>
      </c>
      <c r="G318" s="54" t="s">
        <v>18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19</v>
      </c>
      <c r="N318" s="54" t="s">
        <v>18</v>
      </c>
      <c r="O318" s="54" t="s">
        <v>43</v>
      </c>
      <c r="P318" s="54" t="s">
        <v>22</v>
      </c>
      <c r="Q318" s="54" t="s">
        <v>178</v>
      </c>
      <c r="R318" s="159"/>
      <c r="S318" s="155"/>
      <c r="T318" s="1">
        <v>339.9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6"/>
        <v>339.9</v>
      </c>
      <c r="AB318" s="58">
        <v>2018</v>
      </c>
      <c r="AC318" s="124"/>
      <c r="AD318" s="101"/>
      <c r="AE318" s="101"/>
    </row>
    <row r="319" spans="1:31" x14ac:dyDescent="0.3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18</v>
      </c>
      <c r="F319" s="54" t="s">
        <v>18</v>
      </c>
      <c r="G319" s="54" t="s">
        <v>18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46</v>
      </c>
      <c r="R319" s="159"/>
      <c r="S319" s="155"/>
      <c r="T319" s="1">
        <f>T332+T333+T339+T340+T346+T347+T353+T354+T360+T361+T367+T368+T374+T375+T381+T382+T388+T389+T395+T401+T408+T407</f>
        <v>1913.5</v>
      </c>
      <c r="U319" s="1">
        <v>1308.8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6"/>
        <v>3222.3</v>
      </c>
      <c r="AB319" s="58">
        <v>2019</v>
      </c>
      <c r="AC319" s="124"/>
      <c r="AD319" s="101"/>
      <c r="AE319" s="101"/>
    </row>
    <row r="320" spans="1:31" x14ac:dyDescent="0.3">
      <c r="A320" s="54" t="s">
        <v>18</v>
      </c>
      <c r="B320" s="54" t="s">
        <v>18</v>
      </c>
      <c r="C320" s="54" t="s">
        <v>21</v>
      </c>
      <c r="D320" s="54" t="s">
        <v>18</v>
      </c>
      <c r="E320" s="54" t="s">
        <v>18</v>
      </c>
      <c r="F320" s="54" t="s">
        <v>18</v>
      </c>
      <c r="G320" s="54" t="s">
        <v>18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37</v>
      </c>
      <c r="N320" s="54" t="s">
        <v>18</v>
      </c>
      <c r="O320" s="54" t="s">
        <v>24</v>
      </c>
      <c r="P320" s="54" t="s">
        <v>22</v>
      </c>
      <c r="Q320" s="54" t="s">
        <v>39</v>
      </c>
      <c r="R320" s="159"/>
      <c r="S320" s="155"/>
      <c r="T320" s="1">
        <v>3197.7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6"/>
        <v>3197.7</v>
      </c>
      <c r="AB320" s="58">
        <v>2018</v>
      </c>
      <c r="AC320" s="124"/>
      <c r="AD320" s="101"/>
      <c r="AE320" s="101"/>
    </row>
    <row r="321" spans="1:31" x14ac:dyDescent="0.3">
      <c r="A321" s="54" t="s">
        <v>18</v>
      </c>
      <c r="B321" s="54" t="s">
        <v>18</v>
      </c>
      <c r="C321" s="54" t="s">
        <v>21</v>
      </c>
      <c r="D321" s="54" t="s">
        <v>18</v>
      </c>
      <c r="E321" s="54" t="s">
        <v>18</v>
      </c>
      <c r="F321" s="54" t="s">
        <v>18</v>
      </c>
      <c r="G321" s="54" t="s">
        <v>18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18</v>
      </c>
      <c r="R321" s="159"/>
      <c r="S321" s="155"/>
      <c r="T321" s="1">
        <v>0</v>
      </c>
      <c r="U321" s="1">
        <f>4114.8-123.3</f>
        <v>3991.5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6"/>
        <v>3991.5</v>
      </c>
      <c r="AB321" s="58">
        <v>2019</v>
      </c>
      <c r="AC321" s="124"/>
      <c r="AD321" s="101"/>
      <c r="AE321" s="101"/>
    </row>
    <row r="322" spans="1:31" x14ac:dyDescent="0.3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18</v>
      </c>
      <c r="F322" s="54" t="s">
        <v>18</v>
      </c>
      <c r="G322" s="54" t="s">
        <v>18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18</v>
      </c>
      <c r="R322" s="159"/>
      <c r="S322" s="155"/>
      <c r="T322" s="1">
        <v>0</v>
      </c>
      <c r="U322" s="1">
        <f>3035.2-53.3</f>
        <v>2981.8999999999996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6"/>
        <v>2981.8999999999996</v>
      </c>
      <c r="AB322" s="58">
        <v>2019</v>
      </c>
      <c r="AC322" s="124"/>
      <c r="AD322" s="101"/>
      <c r="AE322" s="101"/>
    </row>
    <row r="323" spans="1:31" x14ac:dyDescent="0.3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18</v>
      </c>
      <c r="F323" s="54" t="s">
        <v>18</v>
      </c>
      <c r="G323" s="54" t="s">
        <v>18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18</v>
      </c>
      <c r="R323" s="159"/>
      <c r="S323" s="155"/>
      <c r="T323" s="1">
        <v>0</v>
      </c>
      <c r="U323" s="1">
        <f>215-7.5</f>
        <v>207.5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6"/>
        <v>207.5</v>
      </c>
      <c r="AB323" s="58">
        <v>2019</v>
      </c>
      <c r="AC323" s="124"/>
      <c r="AD323" s="101"/>
      <c r="AE323" s="101"/>
    </row>
    <row r="324" spans="1:31" x14ac:dyDescent="0.3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18</v>
      </c>
      <c r="F324" s="54" t="s">
        <v>18</v>
      </c>
      <c r="G324" s="54" t="s">
        <v>18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43</v>
      </c>
      <c r="O324" s="54" t="s">
        <v>18</v>
      </c>
      <c r="P324" s="54" t="s">
        <v>18</v>
      </c>
      <c r="Q324" s="54" t="s">
        <v>18</v>
      </c>
      <c r="R324" s="159"/>
      <c r="S324" s="155"/>
      <c r="T324" s="1">
        <v>0</v>
      </c>
      <c r="U324" s="1">
        <v>0</v>
      </c>
      <c r="V324" s="1">
        <v>0</v>
      </c>
      <c r="W324" s="1">
        <f>1891+153</f>
        <v>2044</v>
      </c>
      <c r="X324" s="1">
        <v>0</v>
      </c>
      <c r="Y324" s="1">
        <v>0</v>
      </c>
      <c r="Z324" s="1">
        <v>0</v>
      </c>
      <c r="AA324" s="59">
        <f t="shared" si="96"/>
        <v>2044</v>
      </c>
      <c r="AB324" s="58">
        <v>2021</v>
      </c>
      <c r="AC324" s="124"/>
      <c r="AD324" s="101"/>
      <c r="AE324" s="101"/>
    </row>
    <row r="325" spans="1:31" x14ac:dyDescent="0.3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18</v>
      </c>
      <c r="F325" s="54" t="s">
        <v>18</v>
      </c>
      <c r="G325" s="54" t="s">
        <v>18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19</v>
      </c>
      <c r="N325" s="54" t="s">
        <v>43</v>
      </c>
      <c r="O325" s="54" t="s">
        <v>18</v>
      </c>
      <c r="P325" s="54" t="s">
        <v>18</v>
      </c>
      <c r="Q325" s="54" t="s">
        <v>18</v>
      </c>
      <c r="R325" s="159"/>
      <c r="S325" s="155"/>
      <c r="T325" s="1">
        <v>0</v>
      </c>
      <c r="U325" s="1">
        <v>0</v>
      </c>
      <c r="V325" s="1">
        <v>0</v>
      </c>
      <c r="W325" s="1">
        <v>3135.4</v>
      </c>
      <c r="X325" s="1">
        <v>0</v>
      </c>
      <c r="Y325" s="1">
        <v>0</v>
      </c>
      <c r="Z325" s="1">
        <v>0</v>
      </c>
      <c r="AA325" s="59">
        <f t="shared" si="96"/>
        <v>3135.4</v>
      </c>
      <c r="AB325" s="58">
        <v>2021</v>
      </c>
      <c r="AC325" s="124"/>
      <c r="AD325" s="101"/>
      <c r="AE325" s="101"/>
    </row>
    <row r="326" spans="1:31" x14ac:dyDescent="0.3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18</v>
      </c>
      <c r="F326" s="54" t="s">
        <v>18</v>
      </c>
      <c r="G326" s="54" t="s">
        <v>18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43</v>
      </c>
      <c r="O326" s="54" t="s">
        <v>46</v>
      </c>
      <c r="P326" s="54" t="s">
        <v>18</v>
      </c>
      <c r="Q326" s="54" t="s">
        <v>18</v>
      </c>
      <c r="R326" s="159"/>
      <c r="S326" s="155"/>
      <c r="T326" s="1">
        <v>0</v>
      </c>
      <c r="U326" s="1">
        <v>0</v>
      </c>
      <c r="V326" s="1">
        <v>0</v>
      </c>
      <c r="W326" s="1">
        <v>1195.0999999999999</v>
      </c>
      <c r="X326" s="1">
        <v>0</v>
      </c>
      <c r="Y326" s="1">
        <v>0</v>
      </c>
      <c r="Z326" s="1">
        <v>0</v>
      </c>
      <c r="AA326" s="59">
        <f t="shared" si="96"/>
        <v>1195.0999999999999</v>
      </c>
      <c r="AB326" s="58">
        <v>2021</v>
      </c>
      <c r="AC326" s="124"/>
      <c r="AD326" s="101"/>
      <c r="AE326" s="101"/>
    </row>
    <row r="327" spans="1:31" x14ac:dyDescent="0.3">
      <c r="A327" s="54" t="s">
        <v>18</v>
      </c>
      <c r="B327" s="54" t="s">
        <v>18</v>
      </c>
      <c r="C327" s="54" t="s">
        <v>21</v>
      </c>
      <c r="D327" s="54" t="s">
        <v>18</v>
      </c>
      <c r="E327" s="54" t="s">
        <v>18</v>
      </c>
      <c r="F327" s="54" t="s">
        <v>18</v>
      </c>
      <c r="G327" s="54" t="s">
        <v>18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43</v>
      </c>
      <c r="P327" s="54" t="s">
        <v>22</v>
      </c>
      <c r="Q327" s="54" t="s">
        <v>18</v>
      </c>
      <c r="R327" s="160"/>
      <c r="S327" s="156"/>
      <c r="T327" s="1">
        <v>0</v>
      </c>
      <c r="U327" s="1">
        <v>0</v>
      </c>
      <c r="V327" s="1">
        <v>0</v>
      </c>
      <c r="W327" s="1">
        <v>160</v>
      </c>
      <c r="X327" s="1">
        <v>0</v>
      </c>
      <c r="Y327" s="1">
        <v>0</v>
      </c>
      <c r="Z327" s="1">
        <v>0</v>
      </c>
      <c r="AA327" s="59">
        <f t="shared" si="96"/>
        <v>160</v>
      </c>
      <c r="AB327" s="58">
        <v>2021</v>
      </c>
      <c r="AC327" s="124"/>
      <c r="AD327" s="101"/>
      <c r="AE327" s="101"/>
    </row>
    <row r="328" spans="1:31" ht="46.8" x14ac:dyDescent="0.3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311</v>
      </c>
      <c r="S328" s="62" t="s">
        <v>52</v>
      </c>
      <c r="T328" s="3">
        <v>2.7</v>
      </c>
      <c r="U328" s="3">
        <v>1</v>
      </c>
      <c r="V328" s="3">
        <v>0</v>
      </c>
      <c r="W328" s="3">
        <v>2.2000000000000002</v>
      </c>
      <c r="X328" s="3">
        <v>0</v>
      </c>
      <c r="Y328" s="3">
        <v>0</v>
      </c>
      <c r="Z328" s="3">
        <v>0</v>
      </c>
      <c r="AA328" s="6">
        <f t="shared" si="94"/>
        <v>5.9</v>
      </c>
      <c r="AB328" s="41">
        <v>2021</v>
      </c>
      <c r="AC328" s="9"/>
      <c r="AD328" s="101"/>
      <c r="AE328" s="101"/>
    </row>
    <row r="329" spans="1:31" ht="49.2" customHeight="1" x14ac:dyDescent="0.3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312</v>
      </c>
      <c r="S329" s="84" t="s">
        <v>50</v>
      </c>
      <c r="T329" s="44">
        <v>11</v>
      </c>
      <c r="U329" s="44">
        <v>6</v>
      </c>
      <c r="V329" s="44">
        <v>0</v>
      </c>
      <c r="W329" s="44">
        <v>4</v>
      </c>
      <c r="X329" s="44">
        <v>0</v>
      </c>
      <c r="Y329" s="44">
        <v>0</v>
      </c>
      <c r="Z329" s="44">
        <v>0</v>
      </c>
      <c r="AA329" s="49">
        <f t="shared" si="94"/>
        <v>21</v>
      </c>
      <c r="AB329" s="41">
        <v>2021</v>
      </c>
      <c r="AC329" s="9"/>
      <c r="AD329" s="101"/>
      <c r="AE329" s="101"/>
    </row>
    <row r="330" spans="1:31" ht="15.6" hidden="1" customHeight="1" x14ac:dyDescent="0.3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57" t="s">
        <v>213</v>
      </c>
      <c r="S330" s="63" t="s">
        <v>0</v>
      </c>
      <c r="T330" s="1">
        <f>SUM(T331:T334)</f>
        <v>1027.7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1"/>
        <v>1027.7</v>
      </c>
      <c r="AB330" s="58">
        <v>2018</v>
      </c>
      <c r="AC330" s="9"/>
      <c r="AD330" s="101"/>
      <c r="AE330" s="101"/>
    </row>
    <row r="331" spans="1:31" ht="15.6" hidden="1" customHeight="1" x14ac:dyDescent="0.3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57"/>
      <c r="S331" s="63" t="s">
        <v>0</v>
      </c>
      <c r="T331" s="1">
        <v>400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1"/>
        <v>400</v>
      </c>
      <c r="AB331" s="58">
        <v>2018</v>
      </c>
      <c r="AC331" s="9"/>
      <c r="AD331" s="101"/>
      <c r="AE331" s="101"/>
    </row>
    <row r="332" spans="1:31" ht="15.6" hidden="1" customHeight="1" x14ac:dyDescent="0.3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7"/>
      <c r="S332" s="63" t="s">
        <v>0</v>
      </c>
      <c r="T332" s="1">
        <v>14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1"/>
        <v>14</v>
      </c>
      <c r="AB332" s="58">
        <v>2018</v>
      </c>
      <c r="AC332" s="9"/>
      <c r="AD332" s="101"/>
      <c r="AE332" s="101"/>
    </row>
    <row r="333" spans="1:31" ht="15.6" hidden="1" customHeight="1" x14ac:dyDescent="0.3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57"/>
      <c r="S333" s="63" t="s">
        <v>0</v>
      </c>
      <c r="T333" s="1">
        <v>157.4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1"/>
        <v>157.4</v>
      </c>
      <c r="AB333" s="58">
        <v>2018</v>
      </c>
      <c r="AC333" s="9"/>
      <c r="AD333" s="101"/>
      <c r="AE333" s="101"/>
    </row>
    <row r="334" spans="1:31" ht="15.6" hidden="1" customHeight="1" x14ac:dyDescent="0.3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57"/>
      <c r="S334" s="63" t="s">
        <v>0</v>
      </c>
      <c r="T334" s="1">
        <v>456.3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1"/>
        <v>456.3</v>
      </c>
      <c r="AB334" s="58">
        <v>2018</v>
      </c>
      <c r="AC334" s="9"/>
      <c r="AD334" s="101"/>
      <c r="AE334" s="101"/>
    </row>
    <row r="335" spans="1:31" ht="51" hidden="1" customHeight="1" x14ac:dyDescent="0.3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214</v>
      </c>
      <c r="S335" s="84" t="s">
        <v>175</v>
      </c>
      <c r="T335" s="3">
        <v>754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1"/>
        <v>754</v>
      </c>
      <c r="AB335" s="41">
        <v>2018</v>
      </c>
      <c r="AC335" s="9"/>
      <c r="AD335" s="101"/>
      <c r="AE335" s="101"/>
    </row>
    <row r="336" spans="1:31" ht="16.2" hidden="1" customHeight="1" x14ac:dyDescent="0.3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157" t="s">
        <v>215</v>
      </c>
      <c r="S336" s="63" t="s">
        <v>0</v>
      </c>
      <c r="T336" s="1">
        <f>SUM(T337:T341)</f>
        <v>244.8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91"/>
        <v>244.8</v>
      </c>
      <c r="AB336" s="58">
        <v>2018</v>
      </c>
      <c r="AC336" s="9"/>
      <c r="AD336" s="101"/>
      <c r="AE336" s="101"/>
    </row>
    <row r="337" spans="1:31" ht="16.2" hidden="1" customHeight="1" x14ac:dyDescent="0.3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7"/>
      <c r="S337" s="63" t="s">
        <v>0</v>
      </c>
      <c r="T337" s="1">
        <v>97.9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1"/>
        <v>97.9</v>
      </c>
      <c r="AB337" s="58">
        <v>2018</v>
      </c>
      <c r="AC337" s="9"/>
      <c r="AD337" s="101"/>
      <c r="AE337" s="101"/>
    </row>
    <row r="338" spans="1:31" ht="16.2" hidden="1" customHeight="1" x14ac:dyDescent="0.3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178</v>
      </c>
      <c r="R338" s="157"/>
      <c r="S338" s="63" t="s">
        <v>0</v>
      </c>
      <c r="T338" s="1">
        <v>15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1"/>
        <v>15</v>
      </c>
      <c r="AB338" s="58">
        <v>2018</v>
      </c>
      <c r="AC338" s="9"/>
      <c r="AD338" s="101"/>
      <c r="AE338" s="101"/>
    </row>
    <row r="339" spans="1:31" ht="16.2" hidden="1" customHeight="1" x14ac:dyDescent="0.3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7"/>
      <c r="S339" s="63" t="s">
        <v>0</v>
      </c>
      <c r="T339" s="1">
        <v>4.9000000000000004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1"/>
        <v>4.9000000000000004</v>
      </c>
      <c r="AB339" s="58">
        <v>2018</v>
      </c>
      <c r="AC339" s="9"/>
      <c r="AD339" s="101"/>
      <c r="AE339" s="101"/>
    </row>
    <row r="340" spans="1:31" ht="16.2" hidden="1" customHeight="1" x14ac:dyDescent="0.3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46</v>
      </c>
      <c r="R340" s="157"/>
      <c r="S340" s="63" t="s">
        <v>0</v>
      </c>
      <c r="T340" s="1">
        <v>36.700000000000003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1"/>
        <v>36.700000000000003</v>
      </c>
      <c r="AB340" s="58">
        <v>2018</v>
      </c>
      <c r="AC340" s="9"/>
      <c r="AD340" s="101"/>
      <c r="AE340" s="101"/>
    </row>
    <row r="341" spans="1:31" ht="16.2" hidden="1" customHeight="1" x14ac:dyDescent="0.3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21</v>
      </c>
      <c r="F341" s="54" t="s">
        <v>18</v>
      </c>
      <c r="G341" s="54" t="s">
        <v>22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39</v>
      </c>
      <c r="R341" s="157"/>
      <c r="S341" s="63" t="s">
        <v>0</v>
      </c>
      <c r="T341" s="1">
        <v>90.3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1"/>
        <v>90.3</v>
      </c>
      <c r="AB341" s="58">
        <v>2018</v>
      </c>
      <c r="AC341" s="9"/>
      <c r="AD341" s="101"/>
      <c r="AE341" s="101"/>
    </row>
    <row r="342" spans="1:31" ht="52.2" hidden="1" customHeight="1" x14ac:dyDescent="0.3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216</v>
      </c>
      <c r="S342" s="84" t="s">
        <v>50</v>
      </c>
      <c r="T342" s="44">
        <v>10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9">
        <f t="shared" si="91"/>
        <v>10</v>
      </c>
      <c r="AB342" s="41">
        <v>2018</v>
      </c>
      <c r="AC342" s="9"/>
      <c r="AD342" s="101"/>
      <c r="AE342" s="101"/>
    </row>
    <row r="343" spans="1:31" ht="16.350000000000001" hidden="1" customHeight="1" x14ac:dyDescent="0.3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57" t="s">
        <v>217</v>
      </c>
      <c r="S343" s="63" t="s">
        <v>0</v>
      </c>
      <c r="T343" s="1">
        <f>SUM(T344:T348)</f>
        <v>686.4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ref="AA343:AA410" si="97">SUM(T343:Y343)</f>
        <v>686.4</v>
      </c>
      <c r="AB343" s="58">
        <v>2018</v>
      </c>
      <c r="AC343" s="9"/>
      <c r="AD343" s="101"/>
      <c r="AE343" s="101"/>
    </row>
    <row r="344" spans="1:31" ht="16.350000000000001" hidden="1" customHeight="1" x14ac:dyDescent="0.3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24</v>
      </c>
      <c r="F344" s="54" t="s">
        <v>18</v>
      </c>
      <c r="G344" s="54" t="s">
        <v>43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57"/>
      <c r="S344" s="63" t="s">
        <v>0</v>
      </c>
      <c r="T344" s="1">
        <v>272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97"/>
        <v>272</v>
      </c>
      <c r="AB344" s="58">
        <v>2018</v>
      </c>
      <c r="AC344" s="9"/>
      <c r="AD344" s="101"/>
      <c r="AE344" s="101"/>
    </row>
    <row r="345" spans="1:31" ht="16.350000000000001" hidden="1" customHeight="1" x14ac:dyDescent="0.3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24</v>
      </c>
      <c r="F345" s="54" t="s">
        <v>18</v>
      </c>
      <c r="G345" s="54" t="s">
        <v>43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18</v>
      </c>
      <c r="O345" s="54" t="s">
        <v>43</v>
      </c>
      <c r="P345" s="54" t="s">
        <v>22</v>
      </c>
      <c r="Q345" s="54" t="s">
        <v>178</v>
      </c>
      <c r="R345" s="157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97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3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24</v>
      </c>
      <c r="F346" s="54" t="s">
        <v>18</v>
      </c>
      <c r="G346" s="54" t="s">
        <v>43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7"/>
      <c r="S346" s="63" t="s">
        <v>0</v>
      </c>
      <c r="T346" s="1">
        <v>47.3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97"/>
        <v>47.3</v>
      </c>
      <c r="AB346" s="58">
        <v>2018</v>
      </c>
      <c r="AC346" s="9"/>
      <c r="AD346" s="101"/>
      <c r="AE346" s="101"/>
    </row>
    <row r="347" spans="1:31" ht="16.350000000000001" hidden="1" customHeight="1" x14ac:dyDescent="0.3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24</v>
      </c>
      <c r="F347" s="54" t="s">
        <v>18</v>
      </c>
      <c r="G347" s="54" t="s">
        <v>43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46</v>
      </c>
      <c r="R347" s="157"/>
      <c r="S347" s="63" t="s">
        <v>0</v>
      </c>
      <c r="T347" s="1">
        <v>68.599999999999994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97"/>
        <v>68.599999999999994</v>
      </c>
      <c r="AB347" s="58">
        <v>2018</v>
      </c>
      <c r="AC347" s="9"/>
      <c r="AD347" s="101"/>
      <c r="AE347" s="101"/>
    </row>
    <row r="348" spans="1:31" ht="16.350000000000001" hidden="1" customHeight="1" x14ac:dyDescent="0.3">
      <c r="A348" s="54" t="s">
        <v>18</v>
      </c>
      <c r="B348" s="54" t="s">
        <v>18</v>
      </c>
      <c r="C348" s="54" t="s">
        <v>21</v>
      </c>
      <c r="D348" s="54" t="s">
        <v>18</v>
      </c>
      <c r="E348" s="54" t="s">
        <v>24</v>
      </c>
      <c r="F348" s="54" t="s">
        <v>18</v>
      </c>
      <c r="G348" s="54" t="s">
        <v>43</v>
      </c>
      <c r="H348" s="54" t="s">
        <v>19</v>
      </c>
      <c r="I348" s="54" t="s">
        <v>24</v>
      </c>
      <c r="J348" s="54" t="s">
        <v>18</v>
      </c>
      <c r="K348" s="54" t="s">
        <v>18</v>
      </c>
      <c r="L348" s="54" t="s">
        <v>20</v>
      </c>
      <c r="M348" s="54" t="s">
        <v>37</v>
      </c>
      <c r="N348" s="54" t="s">
        <v>18</v>
      </c>
      <c r="O348" s="54" t="s">
        <v>24</v>
      </c>
      <c r="P348" s="54" t="s">
        <v>22</v>
      </c>
      <c r="Q348" s="54" t="s">
        <v>39</v>
      </c>
      <c r="R348" s="157"/>
      <c r="S348" s="63" t="s">
        <v>0</v>
      </c>
      <c r="T348" s="1">
        <v>268.5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9">
        <f t="shared" si="97"/>
        <v>268.5</v>
      </c>
      <c r="AB348" s="58">
        <v>2018</v>
      </c>
      <c r="AC348" s="9"/>
      <c r="AD348" s="101"/>
      <c r="AE348" s="101"/>
    </row>
    <row r="349" spans="1:31" ht="53.4" hidden="1" customHeight="1" x14ac:dyDescent="0.3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78" t="s">
        <v>218</v>
      </c>
      <c r="S349" s="84" t="s">
        <v>175</v>
      </c>
      <c r="T349" s="3">
        <v>285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6">
        <f t="shared" si="97"/>
        <v>285</v>
      </c>
      <c r="AB349" s="41">
        <v>2018</v>
      </c>
      <c r="AC349" s="9"/>
      <c r="AD349" s="101"/>
      <c r="AE349" s="101"/>
    </row>
    <row r="350" spans="1:31" ht="16.350000000000001" hidden="1" customHeight="1" x14ac:dyDescent="0.3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57" t="s">
        <v>219</v>
      </c>
      <c r="S350" s="63" t="s">
        <v>0</v>
      </c>
      <c r="T350" s="1">
        <f>SUM(T351:T355)</f>
        <v>657.90000000000009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7"/>
        <v>657.90000000000009</v>
      </c>
      <c r="AB350" s="58">
        <v>2018</v>
      </c>
      <c r="AC350" s="9"/>
      <c r="AD350" s="101"/>
      <c r="AE350" s="101"/>
    </row>
    <row r="351" spans="1:31" ht="16.350000000000001" hidden="1" customHeight="1" x14ac:dyDescent="0.3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57"/>
      <c r="S351" s="63" t="s">
        <v>0</v>
      </c>
      <c r="T351" s="1">
        <v>263.10000000000002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7"/>
        <v>263.10000000000002</v>
      </c>
      <c r="AB351" s="58">
        <v>2018</v>
      </c>
      <c r="AC351" s="9"/>
      <c r="AD351" s="101"/>
      <c r="AE351" s="101"/>
    </row>
    <row r="352" spans="1:31" ht="16.350000000000001" hidden="1" customHeight="1" x14ac:dyDescent="0.3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19</v>
      </c>
      <c r="N352" s="54" t="s">
        <v>18</v>
      </c>
      <c r="O352" s="54" t="s">
        <v>43</v>
      </c>
      <c r="P352" s="54" t="s">
        <v>22</v>
      </c>
      <c r="Q352" s="54" t="s">
        <v>178</v>
      </c>
      <c r="R352" s="157"/>
      <c r="S352" s="63" t="s">
        <v>0</v>
      </c>
      <c r="T352" s="1">
        <v>40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>SUM(T352:Y352)</f>
        <v>40</v>
      </c>
      <c r="AB352" s="58">
        <v>2018</v>
      </c>
      <c r="AC352" s="9"/>
      <c r="AD352" s="101"/>
      <c r="AE352" s="101"/>
    </row>
    <row r="353" spans="1:31" ht="16.350000000000001" hidden="1" customHeight="1" x14ac:dyDescent="0.3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7"/>
      <c r="S353" s="63" t="s">
        <v>0</v>
      </c>
      <c r="T353" s="1">
        <v>5.7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7"/>
        <v>5.7</v>
      </c>
      <c r="AB353" s="58">
        <v>2018</v>
      </c>
      <c r="AC353" s="9"/>
      <c r="AD353" s="101"/>
      <c r="AE353" s="101"/>
    </row>
    <row r="354" spans="1:31" ht="16.350000000000001" hidden="1" customHeight="1" x14ac:dyDescent="0.3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46</v>
      </c>
      <c r="R354" s="157"/>
      <c r="S354" s="63" t="s">
        <v>0</v>
      </c>
      <c r="T354" s="1">
        <v>98.8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7"/>
        <v>98.8</v>
      </c>
      <c r="AB354" s="58">
        <v>2018</v>
      </c>
      <c r="AC354" s="9"/>
      <c r="AD354" s="101"/>
      <c r="AE354" s="101"/>
    </row>
    <row r="355" spans="1:31" ht="16.350000000000001" hidden="1" customHeight="1" x14ac:dyDescent="0.3">
      <c r="A355" s="54" t="s">
        <v>18</v>
      </c>
      <c r="B355" s="54" t="s">
        <v>18</v>
      </c>
      <c r="C355" s="54" t="s">
        <v>21</v>
      </c>
      <c r="D355" s="54" t="s">
        <v>18</v>
      </c>
      <c r="E355" s="54" t="s">
        <v>21</v>
      </c>
      <c r="F355" s="54" t="s">
        <v>18</v>
      </c>
      <c r="G355" s="54" t="s">
        <v>22</v>
      </c>
      <c r="H355" s="54" t="s">
        <v>19</v>
      </c>
      <c r="I355" s="54" t="s">
        <v>24</v>
      </c>
      <c r="J355" s="54" t="s">
        <v>18</v>
      </c>
      <c r="K355" s="54" t="s">
        <v>18</v>
      </c>
      <c r="L355" s="54" t="s">
        <v>20</v>
      </c>
      <c r="M355" s="54" t="s">
        <v>37</v>
      </c>
      <c r="N355" s="54" t="s">
        <v>18</v>
      </c>
      <c r="O355" s="54" t="s">
        <v>24</v>
      </c>
      <c r="P355" s="54" t="s">
        <v>22</v>
      </c>
      <c r="Q355" s="54" t="s">
        <v>39</v>
      </c>
      <c r="R355" s="157"/>
      <c r="S355" s="63" t="s">
        <v>0</v>
      </c>
      <c r="T355" s="1">
        <v>250.3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7"/>
        <v>250.3</v>
      </c>
      <c r="AB355" s="58">
        <v>2018</v>
      </c>
      <c r="AC355" s="9"/>
      <c r="AD355" s="101"/>
      <c r="AE355" s="101"/>
    </row>
    <row r="356" spans="1:31" ht="37.200000000000003" hidden="1" customHeight="1" x14ac:dyDescent="0.3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0" t="s">
        <v>220</v>
      </c>
      <c r="S356" s="84" t="s">
        <v>175</v>
      </c>
      <c r="T356" s="3">
        <v>443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97"/>
        <v>443</v>
      </c>
      <c r="AB356" s="41">
        <v>2018</v>
      </c>
      <c r="AC356" s="9"/>
      <c r="AD356" s="101"/>
      <c r="AE356" s="101"/>
    </row>
    <row r="357" spans="1:31" ht="18.600000000000001" hidden="1" customHeight="1" x14ac:dyDescent="0.3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57" t="s">
        <v>221</v>
      </c>
      <c r="S357" s="63" t="s">
        <v>0</v>
      </c>
      <c r="T357" s="1">
        <f>SUM(T358:T362)</f>
        <v>1100.4000000000001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7"/>
        <v>1100.4000000000001</v>
      </c>
      <c r="AB357" s="58">
        <v>2018</v>
      </c>
      <c r="AC357" s="9"/>
      <c r="AD357" s="101"/>
      <c r="AE357" s="101"/>
    </row>
    <row r="358" spans="1:31" ht="16.350000000000001" hidden="1" customHeight="1" x14ac:dyDescent="0.3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24</v>
      </c>
      <c r="P358" s="54" t="s">
        <v>22</v>
      </c>
      <c r="Q358" s="54" t="s">
        <v>45</v>
      </c>
      <c r="R358" s="157"/>
      <c r="S358" s="63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7"/>
        <v>400</v>
      </c>
      <c r="AB358" s="58">
        <v>2018</v>
      </c>
      <c r="AC358" s="9"/>
      <c r="AD358" s="101"/>
      <c r="AE358" s="101"/>
    </row>
    <row r="359" spans="1:31" ht="16.350000000000001" hidden="1" customHeight="1" x14ac:dyDescent="0.3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19</v>
      </c>
      <c r="N359" s="54" t="s">
        <v>18</v>
      </c>
      <c r="O359" s="54" t="s">
        <v>43</v>
      </c>
      <c r="P359" s="54" t="s">
        <v>22</v>
      </c>
      <c r="Q359" s="54" t="s">
        <v>178</v>
      </c>
      <c r="R359" s="157"/>
      <c r="S359" s="63" t="s">
        <v>0</v>
      </c>
      <c r="T359" s="1">
        <v>40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7"/>
        <v>40</v>
      </c>
      <c r="AB359" s="58">
        <v>2018</v>
      </c>
      <c r="AC359" s="9"/>
      <c r="AD359" s="101"/>
      <c r="AE359" s="101"/>
    </row>
    <row r="360" spans="1:31" ht="16.350000000000001" hidden="1" customHeight="1" x14ac:dyDescent="0.3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7"/>
      <c r="S360" s="63" t="s">
        <v>0</v>
      </c>
      <c r="T360" s="1">
        <v>30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7"/>
        <v>30</v>
      </c>
      <c r="AB360" s="58">
        <v>2018</v>
      </c>
      <c r="AC360" s="9"/>
      <c r="AD360" s="101"/>
      <c r="AE360" s="101"/>
    </row>
    <row r="361" spans="1:31" ht="16.350000000000001" hidden="1" customHeight="1" x14ac:dyDescent="0.3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46</v>
      </c>
      <c r="R361" s="157"/>
      <c r="S361" s="63" t="s">
        <v>0</v>
      </c>
      <c r="T361" s="1">
        <v>166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7"/>
        <v>166</v>
      </c>
      <c r="AB361" s="58">
        <v>2018</v>
      </c>
      <c r="AC361" s="9"/>
      <c r="AD361" s="101"/>
      <c r="AE361" s="101"/>
    </row>
    <row r="362" spans="1:31" ht="16.350000000000001" hidden="1" customHeight="1" x14ac:dyDescent="0.3">
      <c r="A362" s="54" t="s">
        <v>18</v>
      </c>
      <c r="B362" s="54" t="s">
        <v>18</v>
      </c>
      <c r="C362" s="54" t="s">
        <v>21</v>
      </c>
      <c r="D362" s="54" t="s">
        <v>18</v>
      </c>
      <c r="E362" s="54" t="s">
        <v>21</v>
      </c>
      <c r="F362" s="54" t="s">
        <v>18</v>
      </c>
      <c r="G362" s="54" t="s">
        <v>22</v>
      </c>
      <c r="H362" s="54" t="s">
        <v>19</v>
      </c>
      <c r="I362" s="54" t="s">
        <v>24</v>
      </c>
      <c r="J362" s="54" t="s">
        <v>18</v>
      </c>
      <c r="K362" s="54" t="s">
        <v>18</v>
      </c>
      <c r="L362" s="54" t="s">
        <v>20</v>
      </c>
      <c r="M362" s="54" t="s">
        <v>37</v>
      </c>
      <c r="N362" s="54" t="s">
        <v>18</v>
      </c>
      <c r="O362" s="54" t="s">
        <v>24</v>
      </c>
      <c r="P362" s="54" t="s">
        <v>22</v>
      </c>
      <c r="Q362" s="54" t="s">
        <v>39</v>
      </c>
      <c r="R362" s="157"/>
      <c r="S362" s="63" t="s">
        <v>0</v>
      </c>
      <c r="T362" s="1">
        <v>464.4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si="97"/>
        <v>464.4</v>
      </c>
      <c r="AB362" s="58">
        <v>2018</v>
      </c>
      <c r="AC362" s="9"/>
      <c r="AD362" s="101"/>
      <c r="AE362" s="101"/>
    </row>
    <row r="363" spans="1:31" ht="37.200000000000003" hidden="1" customHeight="1" x14ac:dyDescent="0.3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80" t="s">
        <v>222</v>
      </c>
      <c r="S363" s="84" t="s">
        <v>175</v>
      </c>
      <c r="T363" s="3">
        <v>930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6">
        <f t="shared" si="97"/>
        <v>930</v>
      </c>
      <c r="AB363" s="41">
        <v>2018</v>
      </c>
      <c r="AC363" s="9"/>
      <c r="AD363" s="101"/>
      <c r="AE363" s="101"/>
    </row>
    <row r="364" spans="1:31" ht="22.2" hidden="1" customHeight="1" x14ac:dyDescent="0.3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157" t="s">
        <v>223</v>
      </c>
      <c r="S364" s="63" t="s">
        <v>0</v>
      </c>
      <c r="T364" s="1">
        <f>SUM(T365:T369)</f>
        <v>1421.6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97"/>
        <v>1421.6</v>
      </c>
      <c r="AB364" s="58">
        <v>2018</v>
      </c>
      <c r="AC364" s="9"/>
      <c r="AD364" s="101"/>
      <c r="AE364" s="101"/>
    </row>
    <row r="365" spans="1:31" ht="16.350000000000001" hidden="1" customHeight="1" x14ac:dyDescent="0.3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21</v>
      </c>
      <c r="F365" s="54" t="s">
        <v>18</v>
      </c>
      <c r="G365" s="54" t="s">
        <v>22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24</v>
      </c>
      <c r="P365" s="54" t="s">
        <v>22</v>
      </c>
      <c r="Q365" s="54" t="s">
        <v>45</v>
      </c>
      <c r="R365" s="157"/>
      <c r="S365" s="63" t="s">
        <v>0</v>
      </c>
      <c r="T365" s="1">
        <v>400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97"/>
        <v>400</v>
      </c>
      <c r="AB365" s="58">
        <v>2018</v>
      </c>
      <c r="AC365" s="9"/>
      <c r="AD365" s="101"/>
      <c r="AE365" s="101"/>
    </row>
    <row r="366" spans="1:31" ht="16.350000000000001" hidden="1" customHeight="1" x14ac:dyDescent="0.3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21</v>
      </c>
      <c r="F366" s="54" t="s">
        <v>18</v>
      </c>
      <c r="G366" s="54" t="s">
        <v>22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19</v>
      </c>
      <c r="N366" s="54" t="s">
        <v>18</v>
      </c>
      <c r="O366" s="54" t="s">
        <v>43</v>
      </c>
      <c r="P366" s="54" t="s">
        <v>22</v>
      </c>
      <c r="Q366" s="54" t="s">
        <v>178</v>
      </c>
      <c r="R366" s="157"/>
      <c r="S366" s="63" t="s">
        <v>0</v>
      </c>
      <c r="T366" s="1">
        <v>50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>SUM(T366:Y366)</f>
        <v>50</v>
      </c>
      <c r="AB366" s="58">
        <v>2018</v>
      </c>
      <c r="AC366" s="9"/>
      <c r="AD366" s="101"/>
      <c r="AE366" s="101"/>
    </row>
    <row r="367" spans="1:31" ht="16.350000000000001" hidden="1" customHeight="1" x14ac:dyDescent="0.3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21</v>
      </c>
      <c r="F367" s="54" t="s">
        <v>18</v>
      </c>
      <c r="G367" s="54" t="s">
        <v>22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7"/>
      <c r="S367" s="63" t="s">
        <v>0</v>
      </c>
      <c r="T367" s="1">
        <v>83.1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97"/>
        <v>83.1</v>
      </c>
      <c r="AB367" s="58">
        <v>2018</v>
      </c>
      <c r="AC367" s="9"/>
      <c r="AD367" s="101"/>
      <c r="AE367" s="101"/>
    </row>
    <row r="368" spans="1:31" ht="16.350000000000001" hidden="1" customHeight="1" x14ac:dyDescent="0.3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21</v>
      </c>
      <c r="F368" s="54" t="s">
        <v>18</v>
      </c>
      <c r="G368" s="54" t="s">
        <v>22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46</v>
      </c>
      <c r="R368" s="157"/>
      <c r="S368" s="63" t="s">
        <v>0</v>
      </c>
      <c r="T368" s="1">
        <v>143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97"/>
        <v>143</v>
      </c>
      <c r="AB368" s="58">
        <v>2018</v>
      </c>
      <c r="AC368" s="9"/>
      <c r="AD368" s="101"/>
      <c r="AE368" s="101"/>
    </row>
    <row r="369" spans="1:31" ht="16.350000000000001" hidden="1" customHeight="1" x14ac:dyDescent="0.3">
      <c r="A369" s="54" t="s">
        <v>18</v>
      </c>
      <c r="B369" s="54" t="s">
        <v>18</v>
      </c>
      <c r="C369" s="54" t="s">
        <v>21</v>
      </c>
      <c r="D369" s="54" t="s">
        <v>18</v>
      </c>
      <c r="E369" s="54" t="s">
        <v>21</v>
      </c>
      <c r="F369" s="54" t="s">
        <v>18</v>
      </c>
      <c r="G369" s="54" t="s">
        <v>22</v>
      </c>
      <c r="H369" s="54" t="s">
        <v>19</v>
      </c>
      <c r="I369" s="54" t="s">
        <v>24</v>
      </c>
      <c r="J369" s="54" t="s">
        <v>18</v>
      </c>
      <c r="K369" s="54" t="s">
        <v>18</v>
      </c>
      <c r="L369" s="54" t="s">
        <v>20</v>
      </c>
      <c r="M369" s="54" t="s">
        <v>37</v>
      </c>
      <c r="N369" s="54" t="s">
        <v>18</v>
      </c>
      <c r="O369" s="54" t="s">
        <v>24</v>
      </c>
      <c r="P369" s="54" t="s">
        <v>22</v>
      </c>
      <c r="Q369" s="54" t="s">
        <v>39</v>
      </c>
      <c r="R369" s="157"/>
      <c r="S369" s="63" t="s">
        <v>0</v>
      </c>
      <c r="T369" s="1">
        <v>745.5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97"/>
        <v>745.5</v>
      </c>
      <c r="AB369" s="58">
        <v>2018</v>
      </c>
      <c r="AC369" s="9"/>
      <c r="AD369" s="101"/>
      <c r="AE369" s="101"/>
    </row>
    <row r="370" spans="1:31" ht="36.6" hidden="1" customHeight="1" x14ac:dyDescent="0.3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80" t="s">
        <v>224</v>
      </c>
      <c r="S370" s="84" t="s">
        <v>175</v>
      </c>
      <c r="T370" s="3">
        <v>1070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97"/>
        <v>1070</v>
      </c>
      <c r="AB370" s="41">
        <v>2018</v>
      </c>
      <c r="AC370" s="9"/>
      <c r="AD370" s="101"/>
      <c r="AE370" s="101"/>
    </row>
    <row r="371" spans="1:31" ht="19.95" hidden="1" customHeight="1" x14ac:dyDescent="0.3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157" t="s">
        <v>225</v>
      </c>
      <c r="S371" s="63" t="s">
        <v>0</v>
      </c>
      <c r="T371" s="1">
        <f>SUM(T372:T376)</f>
        <v>263.89999999999998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97"/>
        <v>263.89999999999998</v>
      </c>
      <c r="AB371" s="58">
        <v>2018</v>
      </c>
      <c r="AC371" s="9"/>
      <c r="AD371" s="101"/>
      <c r="AE371" s="101"/>
    </row>
    <row r="372" spans="1:31" ht="16.350000000000001" hidden="1" customHeight="1" x14ac:dyDescent="0.3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24</v>
      </c>
      <c r="P372" s="54" t="s">
        <v>22</v>
      </c>
      <c r="Q372" s="54" t="s">
        <v>45</v>
      </c>
      <c r="R372" s="157"/>
      <c r="S372" s="63" t="s">
        <v>0</v>
      </c>
      <c r="T372" s="1">
        <v>105.5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97"/>
        <v>105.5</v>
      </c>
      <c r="AB372" s="58">
        <v>2018</v>
      </c>
      <c r="AC372" s="9"/>
      <c r="AD372" s="101"/>
      <c r="AE372" s="101"/>
    </row>
    <row r="373" spans="1:31" ht="16.350000000000001" hidden="1" customHeight="1" x14ac:dyDescent="0.3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19</v>
      </c>
      <c r="N373" s="54" t="s">
        <v>18</v>
      </c>
      <c r="O373" s="54" t="s">
        <v>43</v>
      </c>
      <c r="P373" s="54" t="s">
        <v>22</v>
      </c>
      <c r="Q373" s="54" t="s">
        <v>178</v>
      </c>
      <c r="R373" s="157"/>
      <c r="S373" s="63" t="s">
        <v>0</v>
      </c>
      <c r="T373" s="1">
        <v>20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97"/>
        <v>20</v>
      </c>
      <c r="AB373" s="58">
        <v>2018</v>
      </c>
      <c r="AC373" s="9"/>
      <c r="AD373" s="101"/>
      <c r="AE373" s="101"/>
    </row>
    <row r="374" spans="1:31" ht="16.350000000000001" hidden="1" customHeight="1" x14ac:dyDescent="0.3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7"/>
      <c r="S374" s="63" t="s">
        <v>0</v>
      </c>
      <c r="T374" s="1">
        <v>19.399999999999999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97"/>
        <v>19.399999999999999</v>
      </c>
      <c r="AB374" s="58">
        <v>2018</v>
      </c>
      <c r="AC374" s="9"/>
      <c r="AD374" s="101"/>
      <c r="AE374" s="101"/>
    </row>
    <row r="375" spans="1:31" ht="16.350000000000001" hidden="1" customHeight="1" x14ac:dyDescent="0.3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46</v>
      </c>
      <c r="R375" s="157"/>
      <c r="S375" s="63" t="s">
        <v>0</v>
      </c>
      <c r="T375" s="1">
        <v>39.6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97"/>
        <v>39.6</v>
      </c>
      <c r="AB375" s="58">
        <v>2018</v>
      </c>
      <c r="AC375" s="9"/>
      <c r="AD375" s="101"/>
      <c r="AE375" s="101"/>
    </row>
    <row r="376" spans="1:31" ht="16.350000000000001" hidden="1" customHeight="1" x14ac:dyDescent="0.3">
      <c r="A376" s="54" t="s">
        <v>18</v>
      </c>
      <c r="B376" s="54" t="s">
        <v>18</v>
      </c>
      <c r="C376" s="54" t="s">
        <v>21</v>
      </c>
      <c r="D376" s="54" t="s">
        <v>18</v>
      </c>
      <c r="E376" s="54" t="s">
        <v>21</v>
      </c>
      <c r="F376" s="54" t="s">
        <v>18</v>
      </c>
      <c r="G376" s="54" t="s">
        <v>22</v>
      </c>
      <c r="H376" s="54" t="s">
        <v>19</v>
      </c>
      <c r="I376" s="54" t="s">
        <v>24</v>
      </c>
      <c r="J376" s="54" t="s">
        <v>18</v>
      </c>
      <c r="K376" s="54" t="s">
        <v>18</v>
      </c>
      <c r="L376" s="54" t="s">
        <v>20</v>
      </c>
      <c r="M376" s="54" t="s">
        <v>37</v>
      </c>
      <c r="N376" s="54" t="s">
        <v>18</v>
      </c>
      <c r="O376" s="54" t="s">
        <v>24</v>
      </c>
      <c r="P376" s="54" t="s">
        <v>22</v>
      </c>
      <c r="Q376" s="54" t="s">
        <v>39</v>
      </c>
      <c r="R376" s="157"/>
      <c r="S376" s="63" t="s">
        <v>0</v>
      </c>
      <c r="T376" s="1">
        <v>79.400000000000006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97"/>
        <v>79.400000000000006</v>
      </c>
      <c r="AB376" s="58">
        <v>2018</v>
      </c>
      <c r="AC376" s="9"/>
      <c r="AD376" s="101"/>
      <c r="AE376" s="101"/>
    </row>
    <row r="377" spans="1:31" ht="36.6" hidden="1" customHeight="1" x14ac:dyDescent="0.3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80" t="s">
        <v>226</v>
      </c>
      <c r="S377" s="84" t="s">
        <v>8</v>
      </c>
      <c r="T377" s="44">
        <v>5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6">
        <f t="shared" si="97"/>
        <v>5</v>
      </c>
      <c r="AB377" s="41">
        <v>2018</v>
      </c>
      <c r="AC377" s="9"/>
      <c r="AD377" s="101"/>
      <c r="AE377" s="101"/>
    </row>
    <row r="378" spans="1:31" ht="15.6" hidden="1" customHeight="1" x14ac:dyDescent="0.3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157" t="s">
        <v>227</v>
      </c>
      <c r="S378" s="63" t="s">
        <v>0</v>
      </c>
      <c r="T378" s="1">
        <f>SUM(T379:T383)</f>
        <v>490.3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97"/>
        <v>490.3</v>
      </c>
      <c r="AB378" s="58">
        <v>2018</v>
      </c>
      <c r="AC378" s="9"/>
      <c r="AD378" s="101"/>
      <c r="AE378" s="101"/>
    </row>
    <row r="379" spans="1:31" ht="15.6" hidden="1" customHeight="1" x14ac:dyDescent="0.3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24</v>
      </c>
      <c r="F379" s="54" t="s">
        <v>18</v>
      </c>
      <c r="G379" s="54" t="s">
        <v>43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24</v>
      </c>
      <c r="P379" s="54" t="s">
        <v>22</v>
      </c>
      <c r="Q379" s="54" t="s">
        <v>45</v>
      </c>
      <c r="R379" s="157"/>
      <c r="S379" s="63" t="s">
        <v>0</v>
      </c>
      <c r="T379" s="1">
        <v>196.1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97"/>
        <v>196.1</v>
      </c>
      <c r="AB379" s="58">
        <v>2018</v>
      </c>
      <c r="AC379" s="9"/>
      <c r="AD379" s="101"/>
      <c r="AE379" s="101"/>
    </row>
    <row r="380" spans="1:31" ht="15.6" hidden="1" customHeight="1" x14ac:dyDescent="0.3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24</v>
      </c>
      <c r="F380" s="54" t="s">
        <v>18</v>
      </c>
      <c r="G380" s="54" t="s">
        <v>43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19</v>
      </c>
      <c r="N380" s="54" t="s">
        <v>18</v>
      </c>
      <c r="O380" s="54" t="s">
        <v>43</v>
      </c>
      <c r="P380" s="54" t="s">
        <v>22</v>
      </c>
      <c r="Q380" s="54" t="s">
        <v>178</v>
      </c>
      <c r="R380" s="157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>SUM(T380:Y380)</f>
        <v>30</v>
      </c>
      <c r="AB380" s="58">
        <v>2018</v>
      </c>
      <c r="AC380" s="9"/>
      <c r="AD380" s="101"/>
      <c r="AE380" s="101"/>
    </row>
    <row r="381" spans="1:31" ht="15.6" hidden="1" customHeight="1" x14ac:dyDescent="0.3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24</v>
      </c>
      <c r="F381" s="54" t="s">
        <v>18</v>
      </c>
      <c r="G381" s="54" t="s">
        <v>43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57"/>
      <c r="S381" s="63" t="s">
        <v>0</v>
      </c>
      <c r="T381" s="1">
        <v>33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97"/>
        <v>33</v>
      </c>
      <c r="AB381" s="58">
        <v>2018</v>
      </c>
      <c r="AC381" s="9"/>
      <c r="AD381" s="101"/>
      <c r="AE381" s="101"/>
    </row>
    <row r="382" spans="1:31" ht="15.6" hidden="1" customHeight="1" x14ac:dyDescent="0.3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24</v>
      </c>
      <c r="F382" s="54" t="s">
        <v>18</v>
      </c>
      <c r="G382" s="54" t="s">
        <v>43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46</v>
      </c>
      <c r="R382" s="157"/>
      <c r="S382" s="63" t="s">
        <v>0</v>
      </c>
      <c r="T382" s="1">
        <v>102.9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97"/>
        <v>102.9</v>
      </c>
      <c r="AB382" s="58">
        <v>2018</v>
      </c>
      <c r="AC382" s="9"/>
      <c r="AD382" s="101"/>
      <c r="AE382" s="101"/>
    </row>
    <row r="383" spans="1:31" ht="15.6" hidden="1" customHeight="1" x14ac:dyDescent="0.3">
      <c r="A383" s="54" t="s">
        <v>18</v>
      </c>
      <c r="B383" s="54" t="s">
        <v>18</v>
      </c>
      <c r="C383" s="54" t="s">
        <v>21</v>
      </c>
      <c r="D383" s="54" t="s">
        <v>18</v>
      </c>
      <c r="E383" s="54" t="s">
        <v>24</v>
      </c>
      <c r="F383" s="54" t="s">
        <v>18</v>
      </c>
      <c r="G383" s="54" t="s">
        <v>43</v>
      </c>
      <c r="H383" s="54" t="s">
        <v>19</v>
      </c>
      <c r="I383" s="54" t="s">
        <v>24</v>
      </c>
      <c r="J383" s="54" t="s">
        <v>18</v>
      </c>
      <c r="K383" s="54" t="s">
        <v>18</v>
      </c>
      <c r="L383" s="54" t="s">
        <v>20</v>
      </c>
      <c r="M383" s="54" t="s">
        <v>37</v>
      </c>
      <c r="N383" s="54" t="s">
        <v>18</v>
      </c>
      <c r="O383" s="54" t="s">
        <v>24</v>
      </c>
      <c r="P383" s="54" t="s">
        <v>22</v>
      </c>
      <c r="Q383" s="54" t="s">
        <v>39</v>
      </c>
      <c r="R383" s="157"/>
      <c r="S383" s="63" t="s">
        <v>0</v>
      </c>
      <c r="T383" s="1">
        <v>128.30000000000001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97"/>
        <v>128.30000000000001</v>
      </c>
      <c r="AB383" s="58">
        <v>2018</v>
      </c>
      <c r="AC383" s="9"/>
      <c r="AD383" s="101"/>
      <c r="AE383" s="101"/>
    </row>
    <row r="384" spans="1:31" ht="31.2" hidden="1" customHeight="1" x14ac:dyDescent="0.3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78" t="s">
        <v>228</v>
      </c>
      <c r="S384" s="89" t="s">
        <v>180</v>
      </c>
      <c r="T384" s="3">
        <v>180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6">
        <f t="shared" si="97"/>
        <v>180</v>
      </c>
      <c r="AB384" s="41">
        <v>2018</v>
      </c>
      <c r="AC384" s="9"/>
      <c r="AD384" s="101"/>
      <c r="AE384" s="101"/>
    </row>
    <row r="385" spans="1:31" ht="15.6" hidden="1" customHeight="1" x14ac:dyDescent="0.3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157" t="s">
        <v>229</v>
      </c>
      <c r="S385" s="63" t="s">
        <v>0</v>
      </c>
      <c r="T385" s="1">
        <f>SUM(T386:T390)</f>
        <v>1177.5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97"/>
        <v>1177.5</v>
      </c>
      <c r="AB385" s="58">
        <v>2018</v>
      </c>
      <c r="AC385" s="9"/>
      <c r="AD385" s="101"/>
      <c r="AE385" s="101"/>
    </row>
    <row r="386" spans="1:31" ht="15.6" hidden="1" customHeight="1" x14ac:dyDescent="0.3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24</v>
      </c>
      <c r="P386" s="54" t="s">
        <v>22</v>
      </c>
      <c r="Q386" s="54" t="s">
        <v>45</v>
      </c>
      <c r="R386" s="157"/>
      <c r="S386" s="63" t="s">
        <v>0</v>
      </c>
      <c r="T386" s="1">
        <v>400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97"/>
        <v>400</v>
      </c>
      <c r="AB386" s="58">
        <v>2018</v>
      </c>
      <c r="AC386" s="9"/>
      <c r="AD386" s="101"/>
      <c r="AE386" s="101"/>
    </row>
    <row r="387" spans="1:31" ht="15.6" hidden="1" customHeight="1" x14ac:dyDescent="0.3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19</v>
      </c>
      <c r="N387" s="54" t="s">
        <v>18</v>
      </c>
      <c r="O387" s="54" t="s">
        <v>43</v>
      </c>
      <c r="P387" s="54" t="s">
        <v>22</v>
      </c>
      <c r="Q387" s="54" t="s">
        <v>178</v>
      </c>
      <c r="R387" s="157"/>
      <c r="S387" s="63" t="s">
        <v>0</v>
      </c>
      <c r="T387" s="1">
        <v>45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97"/>
        <v>45</v>
      </c>
      <c r="AB387" s="58">
        <v>2018</v>
      </c>
      <c r="AC387" s="9"/>
      <c r="AD387" s="101"/>
      <c r="AE387" s="101"/>
    </row>
    <row r="388" spans="1:31" ht="15.6" hidden="1" customHeight="1" x14ac:dyDescent="0.3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57"/>
      <c r="S388" s="63" t="s">
        <v>0</v>
      </c>
      <c r="T388" s="1">
        <v>58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97"/>
        <v>58</v>
      </c>
      <c r="AB388" s="58">
        <v>2018</v>
      </c>
      <c r="AC388" s="9"/>
      <c r="AD388" s="101"/>
      <c r="AE388" s="101"/>
    </row>
    <row r="389" spans="1:31" ht="15.6" hidden="1" customHeight="1" x14ac:dyDescent="0.3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46</v>
      </c>
      <c r="R389" s="157"/>
      <c r="S389" s="63" t="s">
        <v>0</v>
      </c>
      <c r="T389" s="1">
        <v>353.3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97"/>
        <v>353.3</v>
      </c>
      <c r="AB389" s="58">
        <v>2018</v>
      </c>
      <c r="AC389" s="86"/>
      <c r="AD389" s="101"/>
      <c r="AE389" s="101"/>
    </row>
    <row r="390" spans="1:31" ht="15.6" hidden="1" customHeight="1" x14ac:dyDescent="0.3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37</v>
      </c>
      <c r="N390" s="54" t="s">
        <v>18</v>
      </c>
      <c r="O390" s="54" t="s">
        <v>24</v>
      </c>
      <c r="P390" s="54" t="s">
        <v>22</v>
      </c>
      <c r="Q390" s="54" t="s">
        <v>39</v>
      </c>
      <c r="R390" s="157"/>
      <c r="S390" s="63" t="s">
        <v>0</v>
      </c>
      <c r="T390" s="1">
        <v>321.2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97"/>
        <v>321.2</v>
      </c>
      <c r="AB390" s="58">
        <v>2018</v>
      </c>
      <c r="AC390" s="9"/>
      <c r="AD390" s="101"/>
      <c r="AE390" s="101"/>
    </row>
    <row r="391" spans="1:31" ht="27.6" hidden="1" customHeight="1" x14ac:dyDescent="0.3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8" t="s">
        <v>230</v>
      </c>
      <c r="S391" s="84" t="s">
        <v>8</v>
      </c>
      <c r="T391" s="44">
        <v>1</v>
      </c>
      <c r="U391" s="44">
        <v>0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49">
        <f t="shared" si="97"/>
        <v>1</v>
      </c>
      <c r="AB391" s="41">
        <v>2018</v>
      </c>
      <c r="AC391" s="9"/>
      <c r="AD391" s="101"/>
      <c r="AE391" s="101"/>
    </row>
    <row r="392" spans="1:31" ht="15.6" hidden="1" customHeight="1" x14ac:dyDescent="0.3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157" t="s">
        <v>231</v>
      </c>
      <c r="S392" s="63" t="s">
        <v>0</v>
      </c>
      <c r="T392" s="1">
        <f>SUM(T393:T396)</f>
        <v>979.3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97"/>
        <v>979.3</v>
      </c>
      <c r="AB392" s="58">
        <v>2018</v>
      </c>
      <c r="AC392" s="9"/>
      <c r="AD392" s="101"/>
      <c r="AE392" s="101"/>
    </row>
    <row r="393" spans="1:31" ht="15.6" hidden="1" customHeight="1" x14ac:dyDescent="0.3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24</v>
      </c>
      <c r="P393" s="54" t="s">
        <v>22</v>
      </c>
      <c r="Q393" s="54" t="s">
        <v>45</v>
      </c>
      <c r="R393" s="157"/>
      <c r="S393" s="63" t="s">
        <v>0</v>
      </c>
      <c r="T393" s="1">
        <v>391.7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97"/>
        <v>391.7</v>
      </c>
      <c r="AB393" s="58">
        <v>2018</v>
      </c>
      <c r="AC393" s="9"/>
      <c r="AD393" s="101"/>
      <c r="AE393" s="101"/>
    </row>
    <row r="394" spans="1:31" ht="15.6" hidden="1" customHeight="1" x14ac:dyDescent="0.3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43</v>
      </c>
      <c r="P394" s="54" t="s">
        <v>22</v>
      </c>
      <c r="Q394" s="54" t="s">
        <v>178</v>
      </c>
      <c r="R394" s="157"/>
      <c r="S394" s="63" t="s">
        <v>0</v>
      </c>
      <c r="T394" s="1">
        <v>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97"/>
        <v>30</v>
      </c>
      <c r="AB394" s="58">
        <v>2018</v>
      </c>
      <c r="AC394" s="9"/>
      <c r="AD394" s="101"/>
      <c r="AE394" s="101"/>
    </row>
    <row r="395" spans="1:31" ht="15.6" hidden="1" customHeight="1" x14ac:dyDescent="0.3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57"/>
      <c r="S395" s="63" t="s">
        <v>0</v>
      </c>
      <c r="T395" s="1">
        <v>205.6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97"/>
        <v>205.6</v>
      </c>
      <c r="AB395" s="58">
        <v>2018</v>
      </c>
      <c r="AC395" s="9"/>
      <c r="AD395" s="101"/>
      <c r="AE395" s="101"/>
    </row>
    <row r="396" spans="1:31" ht="15.6" hidden="1" customHeight="1" x14ac:dyDescent="0.3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57"/>
      <c r="S396" s="63" t="s">
        <v>0</v>
      </c>
      <c r="T396" s="1">
        <v>352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97"/>
        <v>352</v>
      </c>
      <c r="AB396" s="58">
        <v>2018</v>
      </c>
      <c r="AC396" s="9"/>
      <c r="AD396" s="101"/>
      <c r="AE396" s="101"/>
    </row>
    <row r="397" spans="1:31" ht="31.2" hidden="1" customHeight="1" x14ac:dyDescent="0.3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232</v>
      </c>
      <c r="S397" s="84" t="s">
        <v>175</v>
      </c>
      <c r="T397" s="3">
        <v>356.5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6">
        <f t="shared" si="97"/>
        <v>356.5</v>
      </c>
      <c r="AB397" s="41">
        <v>2018</v>
      </c>
      <c r="AC397" s="9"/>
      <c r="AD397" s="101"/>
      <c r="AE397" s="101"/>
    </row>
    <row r="398" spans="1:31" ht="15.6" hidden="1" customHeight="1" x14ac:dyDescent="0.3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57" t="s">
        <v>233</v>
      </c>
      <c r="S398" s="63" t="s">
        <v>0</v>
      </c>
      <c r="T398" s="1">
        <f>SUM(T399:T402)</f>
        <v>695.4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97"/>
        <v>695.4</v>
      </c>
      <c r="AB398" s="58">
        <v>2018</v>
      </c>
      <c r="AC398" s="9"/>
      <c r="AD398" s="101"/>
      <c r="AE398" s="101"/>
    </row>
    <row r="399" spans="1:31" ht="15.6" hidden="1" customHeight="1" x14ac:dyDescent="0.3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21</v>
      </c>
      <c r="F399" s="54" t="s">
        <v>18</v>
      </c>
      <c r="G399" s="54" t="s">
        <v>22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57"/>
      <c r="S399" s="63" t="s">
        <v>0</v>
      </c>
      <c r="T399" s="1">
        <v>278.2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97"/>
        <v>278.2</v>
      </c>
      <c r="AB399" s="58">
        <v>2018</v>
      </c>
      <c r="AC399" s="9"/>
      <c r="AD399" s="101"/>
      <c r="AE399" s="101"/>
    </row>
    <row r="400" spans="1:31" ht="15.6" hidden="1" customHeight="1" x14ac:dyDescent="0.3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21</v>
      </c>
      <c r="F400" s="54" t="s">
        <v>18</v>
      </c>
      <c r="G400" s="54" t="s">
        <v>22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43</v>
      </c>
      <c r="P400" s="54" t="s">
        <v>22</v>
      </c>
      <c r="Q400" s="54" t="s">
        <v>178</v>
      </c>
      <c r="R400" s="157"/>
      <c r="S400" s="63" t="s">
        <v>0</v>
      </c>
      <c r="T400" s="1">
        <v>20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97"/>
        <v>20</v>
      </c>
      <c r="AB400" s="58">
        <v>2018</v>
      </c>
      <c r="AC400" s="9"/>
      <c r="AD400" s="101"/>
      <c r="AE400" s="101"/>
    </row>
    <row r="401" spans="1:31" ht="15.6" hidden="1" customHeight="1" x14ac:dyDescent="0.3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21</v>
      </c>
      <c r="F401" s="54" t="s">
        <v>18</v>
      </c>
      <c r="G401" s="54" t="s">
        <v>22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57"/>
      <c r="S401" s="63" t="s">
        <v>0</v>
      </c>
      <c r="T401" s="1">
        <v>104.3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97"/>
        <v>104.3</v>
      </c>
      <c r="AB401" s="58">
        <v>2018</v>
      </c>
      <c r="AC401" s="9"/>
      <c r="AD401" s="101"/>
      <c r="AE401" s="101"/>
    </row>
    <row r="402" spans="1:31" ht="15.6" hidden="1" customHeight="1" x14ac:dyDescent="0.3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21</v>
      </c>
      <c r="F402" s="54" t="s">
        <v>18</v>
      </c>
      <c r="G402" s="54" t="s">
        <v>22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57"/>
      <c r="S402" s="63" t="s">
        <v>0</v>
      </c>
      <c r="T402" s="1">
        <v>292.89999999999998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97"/>
        <v>292.89999999999998</v>
      </c>
      <c r="AB402" s="58">
        <v>2018</v>
      </c>
      <c r="AC402" s="9"/>
      <c r="AD402" s="101"/>
      <c r="AE402" s="101"/>
    </row>
    <row r="403" spans="1:31" ht="31.2" hidden="1" customHeight="1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234</v>
      </c>
      <c r="S403" s="89" t="s">
        <v>180</v>
      </c>
      <c r="T403" s="3">
        <v>190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97"/>
        <v>190</v>
      </c>
      <c r="AB403" s="41">
        <v>2018</v>
      </c>
      <c r="AC403" s="9"/>
      <c r="AD403" s="101"/>
      <c r="AE403" s="101"/>
    </row>
    <row r="404" spans="1:31" ht="15.6" hidden="1" customHeight="1" x14ac:dyDescent="0.3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57" t="s">
        <v>235</v>
      </c>
      <c r="S404" s="63" t="s">
        <v>0</v>
      </c>
      <c r="T404" s="1">
        <f>SUM(T405:T409)</f>
        <v>836.4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97"/>
        <v>836.4</v>
      </c>
      <c r="AB404" s="58">
        <v>2018</v>
      </c>
      <c r="AC404" s="9"/>
      <c r="AD404" s="101"/>
      <c r="AE404" s="101"/>
    </row>
    <row r="405" spans="1:31" ht="15.6" hidden="1" customHeight="1" x14ac:dyDescent="0.3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57"/>
      <c r="S405" s="63" t="s">
        <v>0</v>
      </c>
      <c r="T405" s="1">
        <v>334.5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97"/>
        <v>334.5</v>
      </c>
      <c r="AB405" s="58">
        <v>2018</v>
      </c>
      <c r="AC405" s="9"/>
      <c r="AD405" s="101"/>
      <c r="AE405" s="101"/>
    </row>
    <row r="406" spans="1:31" ht="15.6" hidden="1" customHeight="1" x14ac:dyDescent="0.3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178</v>
      </c>
      <c r="R406" s="157"/>
      <c r="S406" s="63" t="s">
        <v>0</v>
      </c>
      <c r="T406" s="1">
        <v>30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>SUM(T406:Y406)</f>
        <v>30</v>
      </c>
      <c r="AB406" s="58">
        <v>2018</v>
      </c>
      <c r="AC406" s="9"/>
      <c r="AD406" s="101"/>
      <c r="AE406" s="101"/>
    </row>
    <row r="407" spans="1:31" ht="15.6" hidden="1" customHeight="1" x14ac:dyDescent="0.3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57"/>
      <c r="S407" s="63" t="s">
        <v>0</v>
      </c>
      <c r="T407" s="1">
        <v>16.399999999999999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97"/>
        <v>16.399999999999999</v>
      </c>
      <c r="AB407" s="58">
        <v>2018</v>
      </c>
      <c r="AC407" s="9"/>
      <c r="AD407" s="101"/>
      <c r="AE407" s="101"/>
    </row>
    <row r="408" spans="1:31" ht="15.6" hidden="1" customHeight="1" x14ac:dyDescent="0.3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7"/>
      <c r="S408" s="63" t="s">
        <v>0</v>
      </c>
      <c r="T408" s="1">
        <v>125.5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97"/>
        <v>125.5</v>
      </c>
      <c r="AB408" s="58">
        <v>2018</v>
      </c>
      <c r="AC408" s="9"/>
      <c r="AD408" s="101"/>
      <c r="AE408" s="101"/>
    </row>
    <row r="409" spans="1:31" ht="15.6" hidden="1" customHeight="1" x14ac:dyDescent="0.3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57"/>
      <c r="S409" s="63" t="s">
        <v>0</v>
      </c>
      <c r="T409" s="1">
        <v>330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97"/>
        <v>330</v>
      </c>
      <c r="AB409" s="58">
        <v>2018</v>
      </c>
      <c r="AC409" s="9"/>
      <c r="AD409" s="101"/>
      <c r="AE409" s="101"/>
    </row>
    <row r="410" spans="1:31" ht="27.6" hidden="1" customHeight="1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236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6">
        <f t="shared" si="97"/>
        <v>1</v>
      </c>
      <c r="AB410" s="41">
        <v>2018</v>
      </c>
      <c r="AC410" s="9"/>
      <c r="AD410" s="101"/>
      <c r="AE410" s="101"/>
    </row>
    <row r="411" spans="1:31" ht="15.6" customHeight="1" x14ac:dyDescent="0.3">
      <c r="A411" s="54" t="s">
        <v>18</v>
      </c>
      <c r="B411" s="54" t="s">
        <v>18</v>
      </c>
      <c r="C411" s="54" t="s">
        <v>25</v>
      </c>
      <c r="D411" s="54" t="s">
        <v>18</v>
      </c>
      <c r="E411" s="54" t="s">
        <v>18</v>
      </c>
      <c r="F411" s="54" t="s">
        <v>18</v>
      </c>
      <c r="G411" s="54" t="s">
        <v>18</v>
      </c>
      <c r="H411" s="54" t="s">
        <v>19</v>
      </c>
      <c r="I411" s="54" t="s">
        <v>24</v>
      </c>
      <c r="J411" s="54" t="s">
        <v>18</v>
      </c>
      <c r="K411" s="54" t="s">
        <v>18</v>
      </c>
      <c r="L411" s="54" t="s">
        <v>20</v>
      </c>
      <c r="M411" s="54" t="s">
        <v>18</v>
      </c>
      <c r="N411" s="54" t="s">
        <v>18</v>
      </c>
      <c r="O411" s="54" t="s">
        <v>18</v>
      </c>
      <c r="P411" s="54" t="s">
        <v>18</v>
      </c>
      <c r="Q411" s="54" t="s">
        <v>18</v>
      </c>
      <c r="R411" s="158" t="s">
        <v>140</v>
      </c>
      <c r="S411" s="154" t="s">
        <v>0</v>
      </c>
      <c r="T411" s="59">
        <f>SUM(T412:T414)</f>
        <v>6913.9150000000009</v>
      </c>
      <c r="U411" s="59">
        <f>SUM(U412:U416)</f>
        <v>3765.5</v>
      </c>
      <c r="V411" s="59">
        <f>SUM(V412:V416)</f>
        <v>1745.5</v>
      </c>
      <c r="W411" s="59">
        <f>SUM(W412:W419)</f>
        <v>1838.6999999999998</v>
      </c>
      <c r="X411" s="59">
        <v>0</v>
      </c>
      <c r="Y411" s="59">
        <v>0</v>
      </c>
      <c r="Z411" s="59">
        <v>0</v>
      </c>
      <c r="AA411" s="59">
        <f>SUM(T411:Z411)</f>
        <v>14263.615000000002</v>
      </c>
      <c r="AB411" s="58">
        <v>2021</v>
      </c>
      <c r="AC411" s="124"/>
      <c r="AD411" s="101"/>
      <c r="AE411" s="101"/>
    </row>
    <row r="412" spans="1:31" x14ac:dyDescent="0.3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18</v>
      </c>
      <c r="F412" s="54" t="s">
        <v>18</v>
      </c>
      <c r="G412" s="54" t="s">
        <v>18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59"/>
      <c r="S412" s="155"/>
      <c r="T412" s="1">
        <f>T424+T430+T436+T442+T448+T454+T459+T465+T471+T477+T483</f>
        <v>2886.915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ref="AA412:AA419" si="98">SUM(T412:Z412)</f>
        <v>2886.915</v>
      </c>
      <c r="AB412" s="58">
        <v>2018</v>
      </c>
      <c r="AC412" s="124"/>
      <c r="AD412" s="101"/>
      <c r="AE412" s="101"/>
    </row>
    <row r="413" spans="1:31" x14ac:dyDescent="0.3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18</v>
      </c>
      <c r="F413" s="54" t="s">
        <v>18</v>
      </c>
      <c r="G413" s="54" t="s">
        <v>18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59"/>
      <c r="S413" s="155"/>
      <c r="T413" s="1">
        <f>T425+T426+T431+T432+T437+T438+T443+T444+T449+T450+T455+T460+T461+T466+T467+T472+T473+T478+T479+T484+T485</f>
        <v>1641.4</v>
      </c>
      <c r="U413" s="1">
        <v>868</v>
      </c>
      <c r="V413" s="1">
        <v>501.9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98"/>
        <v>3011.3</v>
      </c>
      <c r="AB413" s="58">
        <v>2020</v>
      </c>
      <c r="AC413" s="124"/>
      <c r="AD413" s="101"/>
      <c r="AE413" s="101"/>
    </row>
    <row r="414" spans="1:31" x14ac:dyDescent="0.3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18</v>
      </c>
      <c r="F414" s="54" t="s">
        <v>18</v>
      </c>
      <c r="G414" s="54" t="s">
        <v>18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39</v>
      </c>
      <c r="R414" s="159"/>
      <c r="S414" s="155"/>
      <c r="T414" s="1">
        <v>2385.6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98"/>
        <v>2385.6</v>
      </c>
      <c r="AB414" s="58">
        <v>2018</v>
      </c>
      <c r="AC414" s="124"/>
      <c r="AD414" s="101"/>
      <c r="AE414" s="101"/>
    </row>
    <row r="415" spans="1:31" x14ac:dyDescent="0.3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18</v>
      </c>
      <c r="F415" s="54" t="s">
        <v>18</v>
      </c>
      <c r="G415" s="54" t="s">
        <v>18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19</v>
      </c>
      <c r="N415" s="54" t="s">
        <v>18</v>
      </c>
      <c r="O415" s="54" t="s">
        <v>24</v>
      </c>
      <c r="P415" s="54" t="s">
        <v>22</v>
      </c>
      <c r="Q415" s="54" t="s">
        <v>18</v>
      </c>
      <c r="R415" s="159"/>
      <c r="S415" s="155"/>
      <c r="T415" s="1">
        <v>0</v>
      </c>
      <c r="U415" s="1">
        <f>1977-1.3</f>
        <v>1975.7</v>
      </c>
      <c r="V415" s="1">
        <f>968.2-585.9</f>
        <v>382.30000000000007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98"/>
        <v>2358</v>
      </c>
      <c r="AB415" s="58">
        <v>2020</v>
      </c>
      <c r="AC415" s="124"/>
      <c r="AD415" s="101"/>
      <c r="AE415" s="101"/>
    </row>
    <row r="416" spans="1:31" x14ac:dyDescent="0.3">
      <c r="A416" s="54" t="s">
        <v>18</v>
      </c>
      <c r="B416" s="54" t="s">
        <v>18</v>
      </c>
      <c r="C416" s="54" t="s">
        <v>25</v>
      </c>
      <c r="D416" s="54" t="s">
        <v>18</v>
      </c>
      <c r="E416" s="54" t="s">
        <v>18</v>
      </c>
      <c r="F416" s="54" t="s">
        <v>18</v>
      </c>
      <c r="G416" s="54" t="s">
        <v>18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18</v>
      </c>
      <c r="R416" s="159"/>
      <c r="S416" s="155"/>
      <c r="T416" s="1">
        <v>0</v>
      </c>
      <c r="U416" s="1">
        <f>1119.1-197.3</f>
        <v>921.8</v>
      </c>
      <c r="V416" s="1">
        <f>466.5+457.8-63</f>
        <v>861.3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98"/>
        <v>1783.1</v>
      </c>
      <c r="AB416" s="58">
        <v>2020</v>
      </c>
      <c r="AC416" s="124"/>
      <c r="AD416" s="101"/>
      <c r="AE416" s="101"/>
    </row>
    <row r="417" spans="1:31" x14ac:dyDescent="0.3">
      <c r="A417" s="54" t="s">
        <v>18</v>
      </c>
      <c r="B417" s="54" t="s">
        <v>18</v>
      </c>
      <c r="C417" s="54" t="s">
        <v>25</v>
      </c>
      <c r="D417" s="54" t="s">
        <v>18</v>
      </c>
      <c r="E417" s="54" t="s">
        <v>18</v>
      </c>
      <c r="F417" s="54" t="s">
        <v>18</v>
      </c>
      <c r="G417" s="54" t="s">
        <v>18</v>
      </c>
      <c r="H417" s="54" t="s">
        <v>19</v>
      </c>
      <c r="I417" s="54" t="s">
        <v>24</v>
      </c>
      <c r="J417" s="54" t="s">
        <v>18</v>
      </c>
      <c r="K417" s="54" t="s">
        <v>18</v>
      </c>
      <c r="L417" s="54" t="s">
        <v>20</v>
      </c>
      <c r="M417" s="54" t="s">
        <v>37</v>
      </c>
      <c r="N417" s="54" t="s">
        <v>43</v>
      </c>
      <c r="O417" s="54" t="s">
        <v>18</v>
      </c>
      <c r="P417" s="54" t="s">
        <v>18</v>
      </c>
      <c r="Q417" s="54" t="s">
        <v>18</v>
      </c>
      <c r="R417" s="159"/>
      <c r="S417" s="155"/>
      <c r="T417" s="1">
        <v>0</v>
      </c>
      <c r="U417" s="1">
        <v>0</v>
      </c>
      <c r="V417" s="1">
        <v>0</v>
      </c>
      <c r="W417" s="1">
        <v>534.9</v>
      </c>
      <c r="X417" s="1">
        <v>0</v>
      </c>
      <c r="Y417" s="1">
        <v>0</v>
      </c>
      <c r="Z417" s="1">
        <v>0</v>
      </c>
      <c r="AA417" s="59">
        <f t="shared" si="98"/>
        <v>534.9</v>
      </c>
      <c r="AB417" s="58">
        <v>2021</v>
      </c>
      <c r="AC417" s="124"/>
      <c r="AD417" s="101"/>
      <c r="AE417" s="101"/>
    </row>
    <row r="418" spans="1:31" x14ac:dyDescent="0.3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18</v>
      </c>
      <c r="F418" s="54" t="s">
        <v>18</v>
      </c>
      <c r="G418" s="54" t="s">
        <v>18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43</v>
      </c>
      <c r="O418" s="54" t="s">
        <v>18</v>
      </c>
      <c r="P418" s="54" t="s">
        <v>18</v>
      </c>
      <c r="Q418" s="54" t="s">
        <v>18</v>
      </c>
      <c r="R418" s="159"/>
      <c r="S418" s="155"/>
      <c r="T418" s="1">
        <v>0</v>
      </c>
      <c r="U418" s="1">
        <v>0</v>
      </c>
      <c r="V418" s="1">
        <v>0</v>
      </c>
      <c r="W418" s="1">
        <v>904.4</v>
      </c>
      <c r="X418" s="1">
        <v>0</v>
      </c>
      <c r="Y418" s="1">
        <v>0</v>
      </c>
      <c r="Z418" s="1">
        <v>0</v>
      </c>
      <c r="AA418" s="59">
        <f t="shared" si="98"/>
        <v>904.4</v>
      </c>
      <c r="AB418" s="58">
        <v>2021</v>
      </c>
      <c r="AC418" s="124"/>
      <c r="AD418" s="101"/>
      <c r="AE418" s="101"/>
    </row>
    <row r="419" spans="1:31" x14ac:dyDescent="0.3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18</v>
      </c>
      <c r="F419" s="54" t="s">
        <v>18</v>
      </c>
      <c r="G419" s="54" t="s">
        <v>18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43</v>
      </c>
      <c r="O419" s="54" t="s">
        <v>46</v>
      </c>
      <c r="P419" s="54" t="s">
        <v>18</v>
      </c>
      <c r="Q419" s="54" t="s">
        <v>18</v>
      </c>
      <c r="R419" s="160"/>
      <c r="S419" s="156"/>
      <c r="T419" s="1">
        <v>0</v>
      </c>
      <c r="U419" s="1">
        <v>0</v>
      </c>
      <c r="V419" s="1">
        <v>0</v>
      </c>
      <c r="W419" s="1">
        <v>399.4</v>
      </c>
      <c r="X419" s="1">
        <v>0</v>
      </c>
      <c r="Y419" s="1">
        <v>0</v>
      </c>
      <c r="Z419" s="1">
        <v>0</v>
      </c>
      <c r="AA419" s="59">
        <f t="shared" si="98"/>
        <v>399.4</v>
      </c>
      <c r="AB419" s="58">
        <v>2021</v>
      </c>
      <c r="AC419" s="124"/>
      <c r="AD419" s="101"/>
      <c r="AE419" s="101"/>
    </row>
    <row r="420" spans="1:31" ht="46.8" x14ac:dyDescent="0.3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80" t="s">
        <v>313</v>
      </c>
      <c r="S420" s="62" t="s">
        <v>52</v>
      </c>
      <c r="T420" s="3">
        <v>1.5</v>
      </c>
      <c r="U420" s="3">
        <v>0.8</v>
      </c>
      <c r="V420" s="3">
        <v>0.6</v>
      </c>
      <c r="W420" s="3">
        <v>0.4</v>
      </c>
      <c r="X420" s="3">
        <v>0</v>
      </c>
      <c r="Y420" s="3">
        <v>0</v>
      </c>
      <c r="Z420" s="3">
        <v>0</v>
      </c>
      <c r="AA420" s="6">
        <f t="shared" ref="AA420:AA422" si="99">SUM(T420:Y420)</f>
        <v>3.3</v>
      </c>
      <c r="AB420" s="41">
        <v>2021</v>
      </c>
      <c r="AC420" s="128"/>
      <c r="AD420" s="101"/>
      <c r="AE420" s="101"/>
    </row>
    <row r="421" spans="1:31" ht="46.95" hidden="1" customHeight="1" x14ac:dyDescent="0.3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0" t="s">
        <v>182</v>
      </c>
      <c r="S421" s="84" t="s">
        <v>181</v>
      </c>
      <c r="T421" s="3"/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6">
        <f t="shared" si="99"/>
        <v>0</v>
      </c>
      <c r="AB421" s="41">
        <v>2018</v>
      </c>
      <c r="AC421" s="128"/>
      <c r="AD421" s="101"/>
      <c r="AE421" s="101"/>
    </row>
    <row r="422" spans="1:31" ht="46.8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314</v>
      </c>
      <c r="S422" s="84" t="s">
        <v>50</v>
      </c>
      <c r="T422" s="44">
        <v>10</v>
      </c>
      <c r="U422" s="44">
        <v>5</v>
      </c>
      <c r="V422" s="44">
        <v>2</v>
      </c>
      <c r="W422" s="44">
        <v>2</v>
      </c>
      <c r="X422" s="44">
        <v>0</v>
      </c>
      <c r="Y422" s="44">
        <v>0</v>
      </c>
      <c r="Z422" s="44">
        <v>0</v>
      </c>
      <c r="AA422" s="49">
        <f t="shared" si="99"/>
        <v>19</v>
      </c>
      <c r="AB422" s="41">
        <v>2021</v>
      </c>
      <c r="AC422" s="128"/>
      <c r="AD422" s="101"/>
      <c r="AE422" s="101"/>
    </row>
    <row r="423" spans="1:31" ht="15.6" hidden="1" customHeight="1" x14ac:dyDescent="0.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57" t="s">
        <v>239</v>
      </c>
      <c r="S423" s="63" t="s">
        <v>0</v>
      </c>
      <c r="T423" s="1">
        <f>SUM(T424:T427)</f>
        <v>721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ref="AA423:AA486" si="100">SUM(T423:Y423)</f>
        <v>721</v>
      </c>
      <c r="AB423" s="58">
        <v>2018</v>
      </c>
      <c r="AC423" s="9"/>
      <c r="AD423" s="101"/>
      <c r="AE423" s="101"/>
    </row>
    <row r="424" spans="1:31" ht="15.6" hidden="1" customHeight="1" x14ac:dyDescent="0.3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57"/>
      <c r="S424" s="63" t="s">
        <v>0</v>
      </c>
      <c r="T424" s="1">
        <v>288.39999999999998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0"/>
        <v>288.39999999999998</v>
      </c>
      <c r="AB424" s="58">
        <v>2018</v>
      </c>
      <c r="AC424" s="9"/>
      <c r="AD424" s="101"/>
      <c r="AE424" s="101"/>
    </row>
    <row r="425" spans="1:31" ht="15.6" hidden="1" customHeight="1" x14ac:dyDescent="0.3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57"/>
      <c r="S425" s="63" t="s">
        <v>0</v>
      </c>
      <c r="T425" s="1">
        <v>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0"/>
        <v>6</v>
      </c>
      <c r="AB425" s="58">
        <v>2018</v>
      </c>
      <c r="AC425" s="9"/>
      <c r="AD425" s="101"/>
      <c r="AE425" s="101"/>
    </row>
    <row r="426" spans="1:31" ht="15.6" hidden="1" customHeight="1" x14ac:dyDescent="0.3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7"/>
      <c r="S426" s="63" t="s">
        <v>0</v>
      </c>
      <c r="T426" s="1">
        <v>151.4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0"/>
        <v>151.4</v>
      </c>
      <c r="AB426" s="58">
        <v>2018</v>
      </c>
      <c r="AC426" s="9"/>
      <c r="AD426" s="101"/>
      <c r="AE426" s="101"/>
    </row>
    <row r="427" spans="1:31" ht="15.6" hidden="1" customHeight="1" x14ac:dyDescent="0.3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57"/>
      <c r="S427" s="63" t="s">
        <v>0</v>
      </c>
      <c r="T427" s="1">
        <v>275.2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0"/>
        <v>275.2</v>
      </c>
      <c r="AB427" s="58">
        <v>2018</v>
      </c>
      <c r="AC427" s="9"/>
      <c r="AD427" s="101"/>
      <c r="AE427" s="101"/>
    </row>
    <row r="428" spans="1:31" ht="31.2" hidden="1" customHeight="1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240</v>
      </c>
      <c r="S428" s="84" t="s">
        <v>8</v>
      </c>
      <c r="T428" s="44">
        <v>1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/>
      <c r="AA428" s="49">
        <f t="shared" si="100"/>
        <v>1</v>
      </c>
      <c r="AB428" s="41">
        <v>2018</v>
      </c>
      <c r="AC428" s="9"/>
      <c r="AD428" s="101"/>
      <c r="AE428" s="101"/>
    </row>
    <row r="429" spans="1:31" ht="15.6" hidden="1" customHeight="1" x14ac:dyDescent="0.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57" t="s">
        <v>241</v>
      </c>
      <c r="S429" s="63" t="s">
        <v>0</v>
      </c>
      <c r="T429" s="1">
        <f>SUM(T430:T433)</f>
        <v>960.80000000000007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0"/>
        <v>960.80000000000007</v>
      </c>
      <c r="AB429" s="58">
        <v>2018</v>
      </c>
      <c r="AC429" s="9"/>
      <c r="AD429" s="101"/>
      <c r="AE429" s="101"/>
    </row>
    <row r="430" spans="1:31" ht="15.6" hidden="1" customHeight="1" x14ac:dyDescent="0.3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57"/>
      <c r="S430" s="63" t="s">
        <v>0</v>
      </c>
      <c r="T430" s="1">
        <v>384.3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0"/>
        <v>384.3</v>
      </c>
      <c r="AB430" s="58">
        <v>2018</v>
      </c>
      <c r="AC430" s="9"/>
      <c r="AD430" s="101"/>
      <c r="AE430" s="101"/>
    </row>
    <row r="431" spans="1:31" ht="15.6" hidden="1" customHeight="1" x14ac:dyDescent="0.3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57"/>
      <c r="S431" s="63" t="s">
        <v>0</v>
      </c>
      <c r="T431" s="1">
        <v>25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0"/>
        <v>25</v>
      </c>
      <c r="AB431" s="58">
        <v>2018</v>
      </c>
      <c r="AC431" s="9"/>
      <c r="AD431" s="101"/>
      <c r="AE431" s="101"/>
    </row>
    <row r="432" spans="1:31" ht="15.6" hidden="1" customHeight="1" x14ac:dyDescent="0.3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7"/>
      <c r="S432" s="63" t="s">
        <v>0</v>
      </c>
      <c r="T432" s="1">
        <v>212.4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0"/>
        <v>212.4</v>
      </c>
      <c r="AB432" s="58">
        <v>2018</v>
      </c>
      <c r="AC432" s="9"/>
      <c r="AD432" s="101"/>
      <c r="AE432" s="101"/>
    </row>
    <row r="433" spans="1:31" ht="15.6" hidden="1" customHeight="1" x14ac:dyDescent="0.3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57"/>
      <c r="S433" s="63" t="s">
        <v>0</v>
      </c>
      <c r="T433" s="1">
        <v>339.1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0"/>
        <v>339.1</v>
      </c>
      <c r="AB433" s="58">
        <v>2018</v>
      </c>
      <c r="AC433" s="9"/>
      <c r="AD433" s="101"/>
      <c r="AE433" s="101"/>
    </row>
    <row r="434" spans="1:31" ht="31.2" hidden="1" customHeight="1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242</v>
      </c>
      <c r="S434" s="84" t="s">
        <v>176</v>
      </c>
      <c r="T434" s="3">
        <v>78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0"/>
        <v>78</v>
      </c>
      <c r="AB434" s="41">
        <v>2018</v>
      </c>
      <c r="AC434" s="9"/>
      <c r="AD434" s="101"/>
      <c r="AE434" s="101"/>
    </row>
    <row r="435" spans="1:31" ht="15.6" hidden="1" customHeight="1" x14ac:dyDescent="0.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57" t="s">
        <v>243</v>
      </c>
      <c r="S435" s="63" t="s">
        <v>0</v>
      </c>
      <c r="T435" s="1">
        <f>SUM(T436:T439)</f>
        <v>301.2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0"/>
        <v>301.2</v>
      </c>
      <c r="AB435" s="58">
        <v>2018</v>
      </c>
      <c r="AC435" s="9"/>
      <c r="AD435" s="101"/>
      <c r="AE435" s="101"/>
    </row>
    <row r="436" spans="1:31" ht="15.6" hidden="1" customHeight="1" x14ac:dyDescent="0.3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57"/>
      <c r="S436" s="63" t="s">
        <v>0</v>
      </c>
      <c r="T436" s="1">
        <v>114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0"/>
        <v>114</v>
      </c>
      <c r="AB436" s="58">
        <v>2018</v>
      </c>
      <c r="AC436" s="9"/>
      <c r="AD436" s="101"/>
      <c r="AE436" s="101"/>
    </row>
    <row r="437" spans="1:31" ht="15.6" hidden="1" customHeight="1" x14ac:dyDescent="0.3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57"/>
      <c r="S437" s="63" t="s">
        <v>0</v>
      </c>
      <c r="T437" s="1">
        <v>10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0"/>
        <v>10</v>
      </c>
      <c r="AB437" s="58">
        <v>2018</v>
      </c>
      <c r="AC437" s="9"/>
      <c r="AD437" s="101"/>
      <c r="AE437" s="101"/>
    </row>
    <row r="438" spans="1:31" ht="15.6" hidden="1" customHeight="1" x14ac:dyDescent="0.3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57"/>
      <c r="S438" s="63" t="s">
        <v>0</v>
      </c>
      <c r="T438" s="1">
        <v>63.2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0"/>
        <v>63.2</v>
      </c>
      <c r="AB438" s="58">
        <v>2018</v>
      </c>
      <c r="AC438" s="9"/>
      <c r="AD438" s="101"/>
      <c r="AE438" s="101"/>
    </row>
    <row r="439" spans="1:31" ht="15.6" hidden="1" customHeight="1" x14ac:dyDescent="0.3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39</v>
      </c>
      <c r="R439" s="157"/>
      <c r="S439" s="63" t="s">
        <v>0</v>
      </c>
      <c r="T439" s="1">
        <v>114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100"/>
        <v>114</v>
      </c>
      <c r="AB439" s="58">
        <v>2018</v>
      </c>
      <c r="AC439" s="9"/>
      <c r="AD439" s="101"/>
      <c r="AE439" s="101"/>
    </row>
    <row r="440" spans="1:31" ht="45" hidden="1" customHeight="1" x14ac:dyDescent="0.3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244</v>
      </c>
      <c r="S440" s="84" t="s">
        <v>50</v>
      </c>
      <c r="T440" s="44">
        <v>12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/>
      <c r="AA440" s="49">
        <f t="shared" si="100"/>
        <v>12</v>
      </c>
      <c r="AB440" s="41">
        <v>2018</v>
      </c>
      <c r="AC440" s="9"/>
      <c r="AD440" s="101"/>
      <c r="AE440" s="101"/>
    </row>
    <row r="441" spans="1:31" ht="15.6" hidden="1" customHeight="1" x14ac:dyDescent="0.3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157" t="s">
        <v>245</v>
      </c>
      <c r="S441" s="63" t="s">
        <v>0</v>
      </c>
      <c r="T441" s="1">
        <f>SUM(T442:T445)</f>
        <v>465.4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0"/>
        <v>465.4</v>
      </c>
      <c r="AB441" s="58">
        <v>2018</v>
      </c>
      <c r="AC441" s="9"/>
      <c r="AD441" s="101"/>
      <c r="AE441" s="101"/>
    </row>
    <row r="442" spans="1:31" ht="15.6" hidden="1" customHeight="1" x14ac:dyDescent="0.3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19</v>
      </c>
      <c r="N442" s="54" t="s">
        <v>18</v>
      </c>
      <c r="O442" s="54" t="s">
        <v>24</v>
      </c>
      <c r="P442" s="54" t="s">
        <v>22</v>
      </c>
      <c r="Q442" s="54" t="s">
        <v>45</v>
      </c>
      <c r="R442" s="157"/>
      <c r="S442" s="63" t="s">
        <v>0</v>
      </c>
      <c r="T442" s="1">
        <v>178.8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0"/>
        <v>178.8</v>
      </c>
      <c r="AB442" s="58">
        <v>2018</v>
      </c>
      <c r="AC442" s="9"/>
      <c r="AD442" s="101"/>
      <c r="AE442" s="101"/>
    </row>
    <row r="443" spans="1:31" ht="15.6" hidden="1" customHeight="1" x14ac:dyDescent="0.3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7"/>
      <c r="S443" s="63" t="s">
        <v>0</v>
      </c>
      <c r="T443" s="1">
        <v>10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0"/>
        <v>10</v>
      </c>
      <c r="AB443" s="58">
        <v>2018</v>
      </c>
      <c r="AC443" s="9"/>
      <c r="AD443" s="101"/>
      <c r="AE443" s="101"/>
    </row>
    <row r="444" spans="1:31" ht="15.6" hidden="1" customHeight="1" x14ac:dyDescent="0.3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57"/>
      <c r="S444" s="63" t="s">
        <v>0</v>
      </c>
      <c r="T444" s="1">
        <v>97.7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0"/>
        <v>97.7</v>
      </c>
      <c r="AB444" s="58">
        <v>2018</v>
      </c>
      <c r="AC444" s="9"/>
      <c r="AD444" s="101"/>
      <c r="AE444" s="101"/>
    </row>
    <row r="445" spans="1:31" ht="15.6" hidden="1" customHeight="1" x14ac:dyDescent="0.3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39</v>
      </c>
      <c r="R445" s="157"/>
      <c r="S445" s="63" t="s">
        <v>0</v>
      </c>
      <c r="T445" s="1">
        <v>178.9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0"/>
        <v>178.9</v>
      </c>
      <c r="AB445" s="58">
        <v>2018</v>
      </c>
      <c r="AC445" s="9"/>
      <c r="AD445" s="101"/>
      <c r="AE445" s="101"/>
    </row>
    <row r="446" spans="1:31" ht="41.4" hidden="1" customHeight="1" x14ac:dyDescent="0.3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80" t="s">
        <v>246</v>
      </c>
      <c r="S446" s="84" t="s">
        <v>175</v>
      </c>
      <c r="T446" s="3">
        <v>127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/>
      <c r="AA446" s="6">
        <f t="shared" si="100"/>
        <v>127</v>
      </c>
      <c r="AB446" s="41">
        <v>2018</v>
      </c>
      <c r="AC446" s="9"/>
      <c r="AD446" s="101"/>
      <c r="AE446" s="101"/>
    </row>
    <row r="447" spans="1:31" ht="15.6" hidden="1" customHeight="1" x14ac:dyDescent="0.3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157" t="s">
        <v>247</v>
      </c>
      <c r="S447" s="63" t="s">
        <v>0</v>
      </c>
      <c r="T447" s="1">
        <f>SUM(T448:T451)</f>
        <v>482.90000000000003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0"/>
        <v>482.90000000000003</v>
      </c>
      <c r="AB447" s="58">
        <v>2018</v>
      </c>
      <c r="AC447" s="9"/>
      <c r="AD447" s="101"/>
      <c r="AE447" s="101"/>
    </row>
    <row r="448" spans="1:31" ht="15.6" hidden="1" customHeight="1" x14ac:dyDescent="0.3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19</v>
      </c>
      <c r="N448" s="54" t="s">
        <v>18</v>
      </c>
      <c r="O448" s="54" t="s">
        <v>24</v>
      </c>
      <c r="P448" s="54" t="s">
        <v>22</v>
      </c>
      <c r="Q448" s="54" t="s">
        <v>45</v>
      </c>
      <c r="R448" s="157"/>
      <c r="S448" s="63" t="s">
        <v>0</v>
      </c>
      <c r="T448" s="1">
        <v>193.2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0"/>
        <v>193.2</v>
      </c>
      <c r="AB448" s="58">
        <v>2018</v>
      </c>
      <c r="AC448" s="9"/>
      <c r="AD448" s="101"/>
      <c r="AE448" s="101"/>
    </row>
    <row r="449" spans="1:31" ht="15.6" hidden="1" customHeight="1" x14ac:dyDescent="0.3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7"/>
      <c r="S449" s="63" t="s">
        <v>0</v>
      </c>
      <c r="T449" s="1">
        <v>10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0"/>
        <v>10</v>
      </c>
      <c r="AB449" s="58">
        <v>2018</v>
      </c>
      <c r="AC449" s="9"/>
      <c r="AD449" s="101"/>
      <c r="AE449" s="101"/>
    </row>
    <row r="450" spans="1:31" ht="15.6" hidden="1" customHeight="1" x14ac:dyDescent="0.3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57"/>
      <c r="S450" s="63" t="s">
        <v>0</v>
      </c>
      <c r="T450" s="1">
        <v>101.4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0"/>
        <v>101.4</v>
      </c>
      <c r="AB450" s="58">
        <v>2018</v>
      </c>
      <c r="AC450" s="9"/>
      <c r="AD450" s="101"/>
      <c r="AE450" s="101"/>
    </row>
    <row r="451" spans="1:31" ht="15.6" hidden="1" customHeight="1" x14ac:dyDescent="0.3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39</v>
      </c>
      <c r="R451" s="157"/>
      <c r="S451" s="63" t="s">
        <v>0</v>
      </c>
      <c r="T451" s="1">
        <v>178.3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0"/>
        <v>178.3</v>
      </c>
      <c r="AB451" s="58">
        <v>2018</v>
      </c>
      <c r="AC451" s="9"/>
      <c r="AD451" s="101"/>
      <c r="AE451" s="101"/>
    </row>
    <row r="452" spans="1:31" ht="42" hidden="1" customHeight="1" x14ac:dyDescent="0.3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80" t="s">
        <v>248</v>
      </c>
      <c r="S452" s="84" t="s">
        <v>175</v>
      </c>
      <c r="T452" s="3">
        <v>131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/>
      <c r="AA452" s="6">
        <f t="shared" si="100"/>
        <v>131</v>
      </c>
      <c r="AB452" s="41">
        <v>2018</v>
      </c>
      <c r="AC452" s="9"/>
      <c r="AD452" s="101"/>
      <c r="AE452" s="101"/>
    </row>
    <row r="453" spans="1:31" ht="18.75" hidden="1" customHeight="1" x14ac:dyDescent="0.3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157" t="s">
        <v>249</v>
      </c>
      <c r="S453" s="63" t="s">
        <v>0</v>
      </c>
      <c r="T453" s="1">
        <f>SUM(T454:T456)</f>
        <v>880.6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0"/>
        <v>880.6</v>
      </c>
      <c r="AB453" s="58">
        <v>2018</v>
      </c>
      <c r="AC453" s="9"/>
      <c r="AD453" s="101"/>
      <c r="AE453" s="101"/>
    </row>
    <row r="454" spans="1:31" ht="18.75" hidden="1" customHeight="1" x14ac:dyDescent="0.3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19</v>
      </c>
      <c r="N454" s="54" t="s">
        <v>18</v>
      </c>
      <c r="O454" s="54" t="s">
        <v>24</v>
      </c>
      <c r="P454" s="54" t="s">
        <v>22</v>
      </c>
      <c r="Q454" s="54" t="s">
        <v>45</v>
      </c>
      <c r="R454" s="157"/>
      <c r="S454" s="63" t="s">
        <v>0</v>
      </c>
      <c r="T454" s="1">
        <v>352.2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0"/>
        <v>352.2</v>
      </c>
      <c r="AB454" s="58">
        <v>2018</v>
      </c>
      <c r="AC454" s="9"/>
      <c r="AD454" s="101"/>
      <c r="AE454" s="101"/>
    </row>
    <row r="455" spans="1:31" ht="18.75" hidden="1" customHeight="1" x14ac:dyDescent="0.3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7"/>
      <c r="S455" s="63" t="s">
        <v>0</v>
      </c>
      <c r="T455" s="1">
        <v>140.9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0"/>
        <v>140.9</v>
      </c>
      <c r="AB455" s="58">
        <v>2018</v>
      </c>
      <c r="AC455" s="9"/>
      <c r="AD455" s="101"/>
      <c r="AE455" s="101"/>
    </row>
    <row r="456" spans="1:31" ht="18.75" hidden="1" customHeight="1" x14ac:dyDescent="0.3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57"/>
      <c r="S456" s="63" t="s">
        <v>0</v>
      </c>
      <c r="T456" s="1">
        <v>387.5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0"/>
        <v>387.5</v>
      </c>
      <c r="AB456" s="58">
        <v>2018</v>
      </c>
      <c r="AC456" s="9"/>
      <c r="AD456" s="101"/>
      <c r="AE456" s="101"/>
    </row>
    <row r="457" spans="1:31" ht="46.2" hidden="1" customHeight="1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78" t="s">
        <v>250</v>
      </c>
      <c r="S457" s="84" t="s">
        <v>175</v>
      </c>
      <c r="T457" s="3">
        <v>600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0"/>
        <v>600</v>
      </c>
      <c r="AB457" s="41">
        <v>2018</v>
      </c>
      <c r="AC457" s="9"/>
      <c r="AD457" s="101"/>
      <c r="AE457" s="101"/>
    </row>
    <row r="458" spans="1:31" ht="15.6" hidden="1" customHeight="1" x14ac:dyDescent="0.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57" t="s">
        <v>251</v>
      </c>
      <c r="S458" s="63" t="s">
        <v>0</v>
      </c>
      <c r="T458" s="1">
        <f>SUM(T459:T462)</f>
        <v>293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0"/>
        <v>293</v>
      </c>
      <c r="AB458" s="58">
        <v>2018</v>
      </c>
      <c r="AC458" s="9"/>
      <c r="AD458" s="101"/>
      <c r="AE458" s="101"/>
    </row>
    <row r="459" spans="1:31" ht="15.6" hidden="1" customHeight="1" x14ac:dyDescent="0.3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57"/>
      <c r="S459" s="63" t="s">
        <v>0</v>
      </c>
      <c r="T459" s="1">
        <v>117.2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0"/>
        <v>117.2</v>
      </c>
      <c r="AB459" s="58">
        <v>2018</v>
      </c>
      <c r="AC459" s="9"/>
      <c r="AD459" s="101"/>
      <c r="AE459" s="101"/>
    </row>
    <row r="460" spans="1:31" ht="15.6" hidden="1" customHeight="1" x14ac:dyDescent="0.3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57"/>
      <c r="S460" s="63" t="s">
        <v>0</v>
      </c>
      <c r="T460" s="1">
        <v>22.6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0"/>
        <v>22.6</v>
      </c>
      <c r="AB460" s="58">
        <v>2018</v>
      </c>
      <c r="AC460" s="9"/>
      <c r="AD460" s="101"/>
      <c r="AE460" s="101"/>
    </row>
    <row r="461" spans="1:31" ht="15.6" hidden="1" customHeight="1" x14ac:dyDescent="0.3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7"/>
      <c r="S461" s="63" t="s">
        <v>0</v>
      </c>
      <c r="T461" s="1">
        <v>61.5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0"/>
        <v>61.5</v>
      </c>
      <c r="AB461" s="58">
        <v>2018</v>
      </c>
      <c r="AC461" s="9"/>
      <c r="AD461" s="101"/>
      <c r="AE461" s="101"/>
    </row>
    <row r="462" spans="1:31" ht="15.6" hidden="1" customHeight="1" x14ac:dyDescent="0.3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57"/>
      <c r="S462" s="63" t="s">
        <v>0</v>
      </c>
      <c r="T462" s="1">
        <v>91.7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0"/>
        <v>91.7</v>
      </c>
      <c r="AB462" s="58">
        <v>2018</v>
      </c>
      <c r="AC462" s="9"/>
      <c r="AD462" s="101"/>
      <c r="AE462" s="101"/>
    </row>
    <row r="463" spans="1:31" ht="31.2" hidden="1" customHeight="1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252</v>
      </c>
      <c r="S463" s="84" t="s">
        <v>176</v>
      </c>
      <c r="T463" s="3">
        <v>126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/>
      <c r="AA463" s="6">
        <f t="shared" si="100"/>
        <v>126</v>
      </c>
      <c r="AB463" s="41">
        <v>2018</v>
      </c>
      <c r="AC463" s="9"/>
      <c r="AD463" s="101"/>
      <c r="AE463" s="101"/>
    </row>
    <row r="464" spans="1:31" ht="15.6" hidden="1" customHeight="1" x14ac:dyDescent="0.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57" t="s">
        <v>253</v>
      </c>
      <c r="S464" s="63" t="s">
        <v>0</v>
      </c>
      <c r="T464" s="1">
        <f>SUM(T465:T468)</f>
        <v>470.59999999999997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0"/>
        <v>470.59999999999997</v>
      </c>
      <c r="AB464" s="58">
        <v>2018</v>
      </c>
      <c r="AC464" s="9"/>
      <c r="AD464" s="101"/>
      <c r="AE464" s="101"/>
    </row>
    <row r="465" spans="1:31" ht="15.6" hidden="1" customHeight="1" x14ac:dyDescent="0.3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57"/>
      <c r="S465" s="63" t="s">
        <v>0</v>
      </c>
      <c r="T465" s="1">
        <v>188.2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0"/>
        <v>188.2</v>
      </c>
      <c r="AB465" s="58">
        <v>2018</v>
      </c>
      <c r="AC465" s="9"/>
      <c r="AD465" s="101"/>
      <c r="AE465" s="101"/>
    </row>
    <row r="466" spans="1:31" ht="15.6" hidden="1" customHeight="1" x14ac:dyDescent="0.3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57"/>
      <c r="S466" s="63" t="s">
        <v>0</v>
      </c>
      <c r="T466" s="1">
        <v>35.1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0"/>
        <v>35.1</v>
      </c>
      <c r="AB466" s="58">
        <v>2018</v>
      </c>
      <c r="AC466" s="9"/>
      <c r="AD466" s="101"/>
      <c r="AE466" s="101"/>
    </row>
    <row r="467" spans="1:31" ht="15.6" hidden="1" customHeight="1" x14ac:dyDescent="0.3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7"/>
      <c r="S467" s="63" t="s">
        <v>0</v>
      </c>
      <c r="T467" s="1">
        <v>98.8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0"/>
        <v>98.8</v>
      </c>
      <c r="AB467" s="58">
        <v>2018</v>
      </c>
      <c r="AC467" s="9"/>
      <c r="AD467" s="101"/>
      <c r="AE467" s="101"/>
    </row>
    <row r="468" spans="1:31" ht="15.6" hidden="1" customHeight="1" x14ac:dyDescent="0.3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57"/>
      <c r="S468" s="63" t="s">
        <v>0</v>
      </c>
      <c r="T468" s="1">
        <v>148.5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0"/>
        <v>148.5</v>
      </c>
      <c r="AB468" s="58">
        <v>2018</v>
      </c>
      <c r="AC468" s="9"/>
      <c r="AD468" s="101"/>
      <c r="AE468" s="101"/>
    </row>
    <row r="469" spans="1:31" ht="31.2" hidden="1" customHeight="1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254</v>
      </c>
      <c r="S469" s="84" t="s">
        <v>175</v>
      </c>
      <c r="T469" s="3">
        <v>131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/>
      <c r="AA469" s="6">
        <f t="shared" si="100"/>
        <v>131</v>
      </c>
      <c r="AB469" s="41">
        <v>2018</v>
      </c>
      <c r="AC469" s="9"/>
      <c r="AD469" s="101"/>
      <c r="AE469" s="101"/>
    </row>
    <row r="470" spans="1:31" ht="15.6" hidden="1" customHeight="1" x14ac:dyDescent="0.3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157" t="s">
        <v>255</v>
      </c>
      <c r="S470" s="63" t="s">
        <v>0</v>
      </c>
      <c r="T470" s="1">
        <f>SUM(T471:T474)</f>
        <v>879.8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0"/>
        <v>879.8</v>
      </c>
      <c r="AB470" s="58">
        <v>2018</v>
      </c>
      <c r="AC470" s="9"/>
      <c r="AD470" s="101"/>
      <c r="AE470" s="101"/>
    </row>
    <row r="471" spans="1:31" ht="15.6" hidden="1" customHeight="1" x14ac:dyDescent="0.3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19</v>
      </c>
      <c r="N471" s="54" t="s">
        <v>18</v>
      </c>
      <c r="O471" s="54" t="s">
        <v>24</v>
      </c>
      <c r="P471" s="54" t="s">
        <v>22</v>
      </c>
      <c r="Q471" s="54" t="s">
        <v>45</v>
      </c>
      <c r="R471" s="157"/>
      <c r="S471" s="63" t="s">
        <v>0</v>
      </c>
      <c r="T471" s="1">
        <v>350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0"/>
        <v>350</v>
      </c>
      <c r="AB471" s="58">
        <v>2018</v>
      </c>
      <c r="AC471" s="9"/>
      <c r="AD471" s="101"/>
      <c r="AE471" s="101"/>
    </row>
    <row r="472" spans="1:31" ht="15.6" hidden="1" customHeight="1" x14ac:dyDescent="0.3">
      <c r="A472" s="54" t="s">
        <v>18</v>
      </c>
      <c r="B472" s="54" t="s">
        <v>18</v>
      </c>
      <c r="C472" s="54" t="s">
        <v>25</v>
      </c>
      <c r="D472" s="54" t="s">
        <v>18</v>
      </c>
      <c r="E472" s="54" t="s">
        <v>21</v>
      </c>
      <c r="F472" s="54" t="s">
        <v>18</v>
      </c>
      <c r="G472" s="54" t="s">
        <v>22</v>
      </c>
      <c r="H472" s="54" t="s">
        <v>19</v>
      </c>
      <c r="I472" s="54" t="s">
        <v>24</v>
      </c>
      <c r="J472" s="54" t="s">
        <v>18</v>
      </c>
      <c r="K472" s="54" t="s">
        <v>18</v>
      </c>
      <c r="L472" s="54" t="s">
        <v>20</v>
      </c>
      <c r="M472" s="54" t="s">
        <v>37</v>
      </c>
      <c r="N472" s="54" t="s">
        <v>18</v>
      </c>
      <c r="O472" s="54" t="s">
        <v>24</v>
      </c>
      <c r="P472" s="54" t="s">
        <v>22</v>
      </c>
      <c r="Q472" s="54" t="s">
        <v>46</v>
      </c>
      <c r="R472" s="157"/>
      <c r="S472" s="63" t="s">
        <v>0</v>
      </c>
      <c r="T472" s="1">
        <v>10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0"/>
        <v>10</v>
      </c>
      <c r="AB472" s="58">
        <v>2018</v>
      </c>
      <c r="AC472" s="9"/>
      <c r="AD472" s="101"/>
      <c r="AE472" s="101"/>
    </row>
    <row r="473" spans="1:31" ht="15.6" hidden="1" customHeight="1" x14ac:dyDescent="0.3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37</v>
      </c>
      <c r="N473" s="54" t="s">
        <v>18</v>
      </c>
      <c r="O473" s="54" t="s">
        <v>24</v>
      </c>
      <c r="P473" s="54" t="s">
        <v>22</v>
      </c>
      <c r="Q473" s="54" t="s">
        <v>46</v>
      </c>
      <c r="R473" s="157"/>
      <c r="S473" s="63" t="s">
        <v>0</v>
      </c>
      <c r="T473" s="1">
        <v>141.69999999999999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0"/>
        <v>141.69999999999999</v>
      </c>
      <c r="AB473" s="58">
        <v>2018</v>
      </c>
      <c r="AC473" s="9"/>
      <c r="AD473" s="101"/>
      <c r="AE473" s="101"/>
    </row>
    <row r="474" spans="1:31" ht="15.6" hidden="1" customHeight="1" x14ac:dyDescent="0.3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39</v>
      </c>
      <c r="R474" s="157"/>
      <c r="S474" s="63" t="s">
        <v>0</v>
      </c>
      <c r="T474" s="1">
        <v>378.1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0"/>
        <v>378.1</v>
      </c>
      <c r="AB474" s="58">
        <v>2018</v>
      </c>
      <c r="AC474" s="9"/>
      <c r="AD474" s="101"/>
      <c r="AE474" s="101"/>
    </row>
    <row r="475" spans="1:31" ht="27.6" hidden="1" customHeight="1" x14ac:dyDescent="0.3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90" t="s">
        <v>256</v>
      </c>
      <c r="S475" s="89" t="s">
        <v>175</v>
      </c>
      <c r="T475" s="3">
        <v>500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/>
      <c r="AA475" s="6">
        <f t="shared" si="100"/>
        <v>500</v>
      </c>
      <c r="AB475" s="41">
        <v>2018</v>
      </c>
      <c r="AC475" s="9"/>
      <c r="AD475" s="101"/>
      <c r="AE475" s="101"/>
    </row>
    <row r="476" spans="1:31" ht="17.25" hidden="1" customHeight="1" x14ac:dyDescent="0.3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157" t="s">
        <v>257</v>
      </c>
      <c r="S476" s="63" t="s">
        <v>0</v>
      </c>
      <c r="T476" s="1">
        <f>SUM(T477:T480)</f>
        <v>811.21499999999992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0"/>
        <v>811.21499999999992</v>
      </c>
      <c r="AB476" s="58">
        <v>2018</v>
      </c>
      <c r="AC476" s="9"/>
      <c r="AD476" s="101"/>
      <c r="AE476" s="101"/>
    </row>
    <row r="477" spans="1:31" ht="15.6" hidden="1" customHeight="1" x14ac:dyDescent="0.3">
      <c r="A477" s="54" t="s">
        <v>18</v>
      </c>
      <c r="B477" s="54" t="s">
        <v>18</v>
      </c>
      <c r="C477" s="54" t="s">
        <v>25</v>
      </c>
      <c r="D477" s="54" t="s">
        <v>18</v>
      </c>
      <c r="E477" s="54" t="s">
        <v>21</v>
      </c>
      <c r="F477" s="54" t="s">
        <v>18</v>
      </c>
      <c r="G477" s="54" t="s">
        <v>22</v>
      </c>
      <c r="H477" s="54" t="s">
        <v>19</v>
      </c>
      <c r="I477" s="54" t="s">
        <v>24</v>
      </c>
      <c r="J477" s="54" t="s">
        <v>18</v>
      </c>
      <c r="K477" s="54" t="s">
        <v>18</v>
      </c>
      <c r="L477" s="54" t="s">
        <v>20</v>
      </c>
      <c r="M477" s="54" t="s">
        <v>19</v>
      </c>
      <c r="N477" s="54" t="s">
        <v>18</v>
      </c>
      <c r="O477" s="54" t="s">
        <v>24</v>
      </c>
      <c r="P477" s="54" t="s">
        <v>22</v>
      </c>
      <c r="Q477" s="54" t="s">
        <v>45</v>
      </c>
      <c r="R477" s="157"/>
      <c r="S477" s="63" t="s">
        <v>0</v>
      </c>
      <c r="T477" s="1">
        <v>324.51499999999999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0"/>
        <v>324.51499999999999</v>
      </c>
      <c r="AB477" s="58">
        <v>2018</v>
      </c>
      <c r="AC477" s="9"/>
      <c r="AD477" s="101"/>
      <c r="AE477" s="101"/>
    </row>
    <row r="478" spans="1:31" ht="15.6" hidden="1" customHeight="1" x14ac:dyDescent="0.3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37</v>
      </c>
      <c r="N478" s="54" t="s">
        <v>18</v>
      </c>
      <c r="O478" s="54" t="s">
        <v>24</v>
      </c>
      <c r="P478" s="54" t="s">
        <v>22</v>
      </c>
      <c r="Q478" s="54" t="s">
        <v>46</v>
      </c>
      <c r="R478" s="157"/>
      <c r="S478" s="63" t="s">
        <v>0</v>
      </c>
      <c r="T478" s="1">
        <v>15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0"/>
        <v>15</v>
      </c>
      <c r="AB478" s="58">
        <v>2018</v>
      </c>
      <c r="AC478" s="9"/>
      <c r="AD478" s="101"/>
      <c r="AE478" s="101"/>
    </row>
    <row r="479" spans="1:31" ht="15.6" hidden="1" customHeight="1" x14ac:dyDescent="0.3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57"/>
      <c r="S479" s="63" t="s">
        <v>0</v>
      </c>
      <c r="T479" s="1">
        <v>170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0"/>
        <v>170</v>
      </c>
      <c r="AB479" s="58">
        <v>2018</v>
      </c>
      <c r="AC479" s="9"/>
      <c r="AD479" s="101"/>
      <c r="AE479" s="101"/>
    </row>
    <row r="480" spans="1:31" ht="15.6" hidden="1" customHeight="1" x14ac:dyDescent="0.3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39</v>
      </c>
      <c r="R480" s="157"/>
      <c r="S480" s="63" t="s">
        <v>0</v>
      </c>
      <c r="T480" s="1">
        <v>301.7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0"/>
        <v>301.7</v>
      </c>
      <c r="AB480" s="58">
        <v>2018</v>
      </c>
      <c r="AC480" s="9"/>
      <c r="AD480" s="101"/>
      <c r="AE480" s="101"/>
    </row>
    <row r="481" spans="1:31" ht="31.2" hidden="1" customHeight="1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80" t="s">
        <v>258</v>
      </c>
      <c r="S481" s="84" t="s">
        <v>8</v>
      </c>
      <c r="T481" s="44">
        <v>1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  <c r="Z481" s="44"/>
      <c r="AA481" s="49">
        <f t="shared" si="100"/>
        <v>1</v>
      </c>
      <c r="AB481" s="41">
        <v>2018</v>
      </c>
      <c r="AC481" s="9"/>
      <c r="AD481" s="101"/>
      <c r="AE481" s="101"/>
    </row>
    <row r="482" spans="1:31" ht="15.6" hidden="1" customHeight="1" x14ac:dyDescent="0.3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157" t="s">
        <v>259</v>
      </c>
      <c r="S482" s="63" t="s">
        <v>0</v>
      </c>
      <c r="T482" s="1">
        <f>SUM(T483:T486)</f>
        <v>1054.8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0"/>
        <v>1054.8</v>
      </c>
      <c r="AB482" s="58">
        <v>2018</v>
      </c>
      <c r="AC482" s="9"/>
      <c r="AD482" s="101"/>
      <c r="AE482" s="101"/>
    </row>
    <row r="483" spans="1:31" ht="15.6" hidden="1" customHeight="1" x14ac:dyDescent="0.3">
      <c r="A483" s="54" t="s">
        <v>18</v>
      </c>
      <c r="B483" s="54" t="s">
        <v>18</v>
      </c>
      <c r="C483" s="54" t="s">
        <v>25</v>
      </c>
      <c r="D483" s="54" t="s">
        <v>18</v>
      </c>
      <c r="E483" s="54" t="s">
        <v>21</v>
      </c>
      <c r="F483" s="54" t="s">
        <v>18</v>
      </c>
      <c r="G483" s="54" t="s">
        <v>22</v>
      </c>
      <c r="H483" s="54" t="s">
        <v>19</v>
      </c>
      <c r="I483" s="54" t="s">
        <v>24</v>
      </c>
      <c r="J483" s="54" t="s">
        <v>18</v>
      </c>
      <c r="K483" s="54" t="s">
        <v>18</v>
      </c>
      <c r="L483" s="54" t="s">
        <v>20</v>
      </c>
      <c r="M483" s="54" t="s">
        <v>19</v>
      </c>
      <c r="N483" s="54" t="s">
        <v>18</v>
      </c>
      <c r="O483" s="54" t="s">
        <v>24</v>
      </c>
      <c r="P483" s="54" t="s">
        <v>22</v>
      </c>
      <c r="Q483" s="54" t="s">
        <v>45</v>
      </c>
      <c r="R483" s="157"/>
      <c r="S483" s="63" t="s">
        <v>0</v>
      </c>
      <c r="T483" s="1">
        <v>396.1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0"/>
        <v>396.1</v>
      </c>
      <c r="AB483" s="58">
        <v>2018</v>
      </c>
      <c r="AC483" s="9"/>
      <c r="AD483" s="101"/>
      <c r="AE483" s="101"/>
    </row>
    <row r="484" spans="1:31" ht="15.6" hidden="1" customHeight="1" x14ac:dyDescent="0.3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37</v>
      </c>
      <c r="N484" s="54" t="s">
        <v>18</v>
      </c>
      <c r="O484" s="54" t="s">
        <v>24</v>
      </c>
      <c r="P484" s="54" t="s">
        <v>22</v>
      </c>
      <c r="Q484" s="54" t="s">
        <v>46</v>
      </c>
      <c r="R484" s="157"/>
      <c r="S484" s="63" t="s">
        <v>0</v>
      </c>
      <c r="T484" s="1">
        <v>5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0"/>
        <v>5</v>
      </c>
      <c r="AB484" s="58">
        <v>2018</v>
      </c>
      <c r="AC484" s="9"/>
      <c r="AD484" s="101"/>
      <c r="AE484" s="101"/>
    </row>
    <row r="485" spans="1:31" ht="15.6" hidden="1" customHeight="1" x14ac:dyDescent="0.3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57"/>
      <c r="S485" s="63" t="s">
        <v>0</v>
      </c>
      <c r="T485" s="1">
        <v>253.7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0"/>
        <v>253.7</v>
      </c>
      <c r="AB485" s="58">
        <v>2018</v>
      </c>
      <c r="AC485" s="9"/>
      <c r="AD485" s="101"/>
      <c r="AE485" s="101"/>
    </row>
    <row r="486" spans="1:31" ht="15.6" hidden="1" customHeight="1" x14ac:dyDescent="0.3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39</v>
      </c>
      <c r="R486" s="157"/>
      <c r="S486" s="63" t="s">
        <v>0</v>
      </c>
      <c r="T486" s="1">
        <v>400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0"/>
        <v>400</v>
      </c>
      <c r="AB486" s="58">
        <v>2018</v>
      </c>
      <c r="AC486" s="9"/>
      <c r="AD486" s="101"/>
      <c r="AE486" s="101"/>
    </row>
    <row r="487" spans="1:31" ht="31.2" hidden="1" customHeight="1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80" t="s">
        <v>260</v>
      </c>
      <c r="S487" s="84" t="s">
        <v>8</v>
      </c>
      <c r="T487" s="44">
        <v>1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/>
      <c r="AA487" s="49">
        <f>SUM(T487:Y487)</f>
        <v>1</v>
      </c>
      <c r="AB487" s="41">
        <v>2018</v>
      </c>
      <c r="AC487" s="9"/>
      <c r="AD487" s="101"/>
      <c r="AE487" s="101"/>
    </row>
    <row r="488" spans="1:31" ht="31.2" x14ac:dyDescent="0.3">
      <c r="A488" s="54" t="s">
        <v>18</v>
      </c>
      <c r="B488" s="54" t="s">
        <v>19</v>
      </c>
      <c r="C488" s="54" t="s">
        <v>20</v>
      </c>
      <c r="D488" s="54" t="s">
        <v>18</v>
      </c>
      <c r="E488" s="54" t="s">
        <v>24</v>
      </c>
      <c r="F488" s="54" t="s">
        <v>18</v>
      </c>
      <c r="G488" s="54" t="s">
        <v>43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18</v>
      </c>
      <c r="R488" s="77" t="s">
        <v>140</v>
      </c>
      <c r="S488" s="55" t="s">
        <v>0</v>
      </c>
      <c r="T488" s="1">
        <f>10000-9745-255</f>
        <v>0</v>
      </c>
      <c r="U488" s="1">
        <f>226.8-200-26.8</f>
        <v>0</v>
      </c>
      <c r="V488" s="1">
        <f>8228.3-8228.3</f>
        <v>0</v>
      </c>
      <c r="W488" s="1">
        <v>0</v>
      </c>
      <c r="X488" s="1">
        <f t="shared" ref="X488" si="101">8228.3-8228.3</f>
        <v>0</v>
      </c>
      <c r="Y488" s="1">
        <v>0</v>
      </c>
      <c r="Z488" s="1">
        <v>8228.2999999999993</v>
      </c>
      <c r="AA488" s="59">
        <f t="shared" ref="AA488:AA521" si="102">SUM(T488:Z488)</f>
        <v>8228.2999999999993</v>
      </c>
      <c r="AB488" s="58">
        <v>2024</v>
      </c>
      <c r="AC488" s="118"/>
      <c r="AD488" s="101"/>
      <c r="AE488" s="101"/>
    </row>
    <row r="489" spans="1:31" ht="46.8" x14ac:dyDescent="0.3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78" t="s">
        <v>315</v>
      </c>
      <c r="S489" s="62" t="s">
        <v>52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7</v>
      </c>
      <c r="AA489" s="6">
        <f t="shared" si="102"/>
        <v>7</v>
      </c>
      <c r="AB489" s="41">
        <v>2024</v>
      </c>
      <c r="AC489" s="128"/>
      <c r="AD489" s="101"/>
      <c r="AE489" s="101"/>
    </row>
    <row r="490" spans="1:31" ht="46.8" x14ac:dyDescent="0.3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78" t="s">
        <v>316</v>
      </c>
      <c r="S490" s="62" t="s">
        <v>38</v>
      </c>
      <c r="T490" s="44">
        <v>0</v>
      </c>
      <c r="U490" s="44">
        <v>0</v>
      </c>
      <c r="V490" s="44">
        <v>0</v>
      </c>
      <c r="W490" s="44">
        <v>0</v>
      </c>
      <c r="X490" s="44">
        <v>0</v>
      </c>
      <c r="Y490" s="44">
        <v>0</v>
      </c>
      <c r="Z490" s="44">
        <v>7</v>
      </c>
      <c r="AA490" s="49">
        <f t="shared" si="102"/>
        <v>7</v>
      </c>
      <c r="AB490" s="41">
        <v>2024</v>
      </c>
      <c r="AC490" s="128"/>
      <c r="AD490" s="101"/>
      <c r="AE490" s="101"/>
    </row>
    <row r="491" spans="1:31" s="51" customFormat="1" ht="46.8" x14ac:dyDescent="0.3">
      <c r="A491" s="54"/>
      <c r="B491" s="54"/>
      <c r="C491" s="54"/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265</v>
      </c>
      <c r="L491" s="54" t="s">
        <v>20</v>
      </c>
      <c r="M491" s="54" t="s">
        <v>18</v>
      </c>
      <c r="N491" s="54" t="s">
        <v>18</v>
      </c>
      <c r="O491" s="54" t="s">
        <v>18</v>
      </c>
      <c r="P491" s="54" t="s">
        <v>18</v>
      </c>
      <c r="Q491" s="54" t="s">
        <v>18</v>
      </c>
      <c r="R491" s="144" t="s">
        <v>328</v>
      </c>
      <c r="S491" s="58" t="s">
        <v>0</v>
      </c>
      <c r="T491" s="59">
        <f>T494+T497+T500+T503</f>
        <v>0</v>
      </c>
      <c r="U491" s="59">
        <f t="shared" ref="U491:V491" si="103">U494+U497+U500+U503</f>
        <v>0</v>
      </c>
      <c r="V491" s="59">
        <f t="shared" si="103"/>
        <v>0</v>
      </c>
      <c r="W491" s="59">
        <f>W494+W497+W500+W503+W506</f>
        <v>15653.2</v>
      </c>
      <c r="X491" s="59">
        <f t="shared" ref="X491:Z491" si="104">X494+X497+X500+X503+X506</f>
        <v>5000</v>
      </c>
      <c r="Y491" s="59">
        <f t="shared" si="104"/>
        <v>5000</v>
      </c>
      <c r="Z491" s="59">
        <f t="shared" si="104"/>
        <v>10762</v>
      </c>
      <c r="AA491" s="59">
        <f t="shared" si="102"/>
        <v>36415.199999999997</v>
      </c>
      <c r="AB491" s="58">
        <v>2024</v>
      </c>
      <c r="AC491" s="33"/>
      <c r="AD491" s="50"/>
    </row>
    <row r="492" spans="1:31" s="51" customFormat="1" ht="31.2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237</v>
      </c>
      <c r="S492" s="52" t="s">
        <v>38</v>
      </c>
      <c r="T492" s="44">
        <f>T495+T498+T501+T504</f>
        <v>0</v>
      </c>
      <c r="U492" s="44">
        <f t="shared" ref="U492:V492" si="105">U495+U498+U501+U504</f>
        <v>0</v>
      </c>
      <c r="V492" s="44">
        <f t="shared" si="105"/>
        <v>0</v>
      </c>
      <c r="W492" s="44">
        <f>W495+W498+W501+W504+W509</f>
        <v>2</v>
      </c>
      <c r="X492" s="44">
        <f t="shared" ref="X492:Y492" si="106">X495+X498+X501+X504+X509</f>
        <v>1</v>
      </c>
      <c r="Y492" s="44">
        <f t="shared" si="106"/>
        <v>5</v>
      </c>
      <c r="Z492" s="44">
        <f t="shared" ref="Z492" si="107">Z495+Z498+Z501+Z504</f>
        <v>30</v>
      </c>
      <c r="AA492" s="49">
        <f t="shared" si="102"/>
        <v>38</v>
      </c>
      <c r="AB492" s="146">
        <v>2024</v>
      </c>
      <c r="AC492" s="33"/>
      <c r="AD492" s="50"/>
    </row>
    <row r="493" spans="1:31" s="8" customFormat="1" ht="31.2" x14ac:dyDescent="0.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61" t="s">
        <v>238</v>
      </c>
      <c r="S493" s="62" t="s">
        <v>52</v>
      </c>
      <c r="T493" s="62">
        <f>T496+T499+T502+T505</f>
        <v>0</v>
      </c>
      <c r="U493" s="62">
        <f>U496+U499+U502+U505</f>
        <v>0</v>
      </c>
      <c r="V493" s="62">
        <f t="shared" ref="V493" si="108">V496+V499+V502+V505</f>
        <v>0</v>
      </c>
      <c r="W493" s="3">
        <f>W496+W499+W502+W505+W510</f>
        <v>4</v>
      </c>
      <c r="X493" s="3">
        <f t="shared" ref="X493:Y493" si="109">X496+X499+X502+X505+X510</f>
        <v>10.6</v>
      </c>
      <c r="Y493" s="3">
        <f t="shared" si="109"/>
        <v>5</v>
      </c>
      <c r="Z493" s="62">
        <f t="shared" ref="Z493" si="110">Z496+Z499+Z502+Z505</f>
        <v>58.2</v>
      </c>
      <c r="AA493" s="53">
        <f t="shared" si="102"/>
        <v>77.800000000000011</v>
      </c>
      <c r="AB493" s="146">
        <v>2024</v>
      </c>
      <c r="AC493" s="33"/>
      <c r="AD493" s="60"/>
    </row>
    <row r="494" spans="1:31" s="51" customFormat="1" ht="46.8" x14ac:dyDescent="0.3">
      <c r="A494" s="54" t="s">
        <v>18</v>
      </c>
      <c r="B494" s="54" t="s">
        <v>18</v>
      </c>
      <c r="C494" s="54" t="s">
        <v>22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265</v>
      </c>
      <c r="L494" s="54" t="s">
        <v>20</v>
      </c>
      <c r="M494" s="54" t="s">
        <v>21</v>
      </c>
      <c r="N494" s="54" t="s">
        <v>21</v>
      </c>
      <c r="O494" s="54" t="s">
        <v>21</v>
      </c>
      <c r="P494" s="54" t="s">
        <v>21</v>
      </c>
      <c r="Q494" s="54" t="s">
        <v>20</v>
      </c>
      <c r="R494" s="144" t="s">
        <v>328</v>
      </c>
      <c r="S494" s="55" t="s">
        <v>0</v>
      </c>
      <c r="T494" s="1">
        <v>0</v>
      </c>
      <c r="U494" s="1">
        <f>3100.4-200-2900.4</f>
        <v>0</v>
      </c>
      <c r="V494" s="1">
        <f>2000.4-2000.4</f>
        <v>0</v>
      </c>
      <c r="W494" s="1">
        <v>0</v>
      </c>
      <c r="X494" s="1">
        <f>3100.4-200-2900.4</f>
        <v>0</v>
      </c>
      <c r="Y494" s="1">
        <f>2000.4-2000.4</f>
        <v>0</v>
      </c>
      <c r="Z494" s="1">
        <v>3100.4</v>
      </c>
      <c r="AA494" s="59">
        <f t="shared" si="102"/>
        <v>3100.4</v>
      </c>
      <c r="AB494" s="58">
        <v>2024</v>
      </c>
      <c r="AC494" s="33"/>
      <c r="AD494" s="50"/>
    </row>
    <row r="495" spans="1:31" s="51" customFormat="1" ht="46.8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40" t="s">
        <v>133</v>
      </c>
      <c r="S495" s="52" t="s">
        <v>38</v>
      </c>
      <c r="T495" s="44">
        <v>0</v>
      </c>
      <c r="U495" s="44">
        <v>0</v>
      </c>
      <c r="V495" s="44">
        <f>12-12</f>
        <v>0</v>
      </c>
      <c r="W495" s="44">
        <v>0</v>
      </c>
      <c r="X495" s="44">
        <v>0</v>
      </c>
      <c r="Y495" s="44">
        <f>12-12</f>
        <v>0</v>
      </c>
      <c r="Z495" s="44">
        <v>12</v>
      </c>
      <c r="AA495" s="49">
        <f t="shared" si="102"/>
        <v>12</v>
      </c>
      <c r="AB495" s="146">
        <v>2024</v>
      </c>
      <c r="AC495" s="33"/>
      <c r="AD495" s="50"/>
    </row>
    <row r="496" spans="1:31" s="51" customFormat="1" ht="46.8" x14ac:dyDescent="0.3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40" t="s">
        <v>134</v>
      </c>
      <c r="S496" s="52" t="s">
        <v>52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19</v>
      </c>
      <c r="AA496" s="53">
        <f t="shared" si="102"/>
        <v>19</v>
      </c>
      <c r="AB496" s="146">
        <v>2024</v>
      </c>
      <c r="AC496" s="33"/>
      <c r="AD496" s="50"/>
    </row>
    <row r="497" spans="1:30" s="51" customFormat="1" ht="46.8" x14ac:dyDescent="0.3">
      <c r="A497" s="54" t="s">
        <v>18</v>
      </c>
      <c r="B497" s="54" t="s">
        <v>18</v>
      </c>
      <c r="C497" s="54" t="s">
        <v>24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265</v>
      </c>
      <c r="L497" s="54" t="s">
        <v>20</v>
      </c>
      <c r="M497" s="54" t="s">
        <v>21</v>
      </c>
      <c r="N497" s="54" t="s">
        <v>21</v>
      </c>
      <c r="O497" s="54" t="s">
        <v>21</v>
      </c>
      <c r="P497" s="54" t="s">
        <v>21</v>
      </c>
      <c r="Q497" s="54" t="s">
        <v>20</v>
      </c>
      <c r="R497" s="144" t="s">
        <v>328</v>
      </c>
      <c r="S497" s="55" t="s">
        <v>0</v>
      </c>
      <c r="T497" s="1">
        <v>0</v>
      </c>
      <c r="U497" s="1">
        <f>2000-100-1900</f>
        <v>0</v>
      </c>
      <c r="V497" s="1">
        <f>2000-2000</f>
        <v>0</v>
      </c>
      <c r="W497" s="1">
        <v>0</v>
      </c>
      <c r="X497" s="1">
        <f>2000-100-1900</f>
        <v>0</v>
      </c>
      <c r="Y497" s="1">
        <f>2000-2000</f>
        <v>0</v>
      </c>
      <c r="Z497" s="1">
        <v>2000</v>
      </c>
      <c r="AA497" s="59">
        <f t="shared" si="102"/>
        <v>2000</v>
      </c>
      <c r="AB497" s="58">
        <v>2024</v>
      </c>
      <c r="AC497" s="33"/>
      <c r="AD497" s="50"/>
    </row>
    <row r="498" spans="1:30" s="51" customFormat="1" ht="46.8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0" t="s">
        <v>273</v>
      </c>
      <c r="S498" s="52" t="s">
        <v>38</v>
      </c>
      <c r="T498" s="44">
        <v>0</v>
      </c>
      <c r="U498" s="44">
        <v>0</v>
      </c>
      <c r="V498" s="44">
        <v>0</v>
      </c>
      <c r="W498" s="44">
        <v>0</v>
      </c>
      <c r="X498" s="44">
        <v>0</v>
      </c>
      <c r="Y498" s="44">
        <v>0</v>
      </c>
      <c r="Z498" s="44">
        <v>9</v>
      </c>
      <c r="AA498" s="49">
        <f t="shared" si="102"/>
        <v>9</v>
      </c>
      <c r="AB498" s="146">
        <v>2024</v>
      </c>
      <c r="AC498" s="33"/>
      <c r="AD498" s="50"/>
    </row>
    <row r="499" spans="1:30" s="51" customFormat="1" ht="46.8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0" t="s">
        <v>274</v>
      </c>
      <c r="S499" s="52" t="s">
        <v>52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14.3</v>
      </c>
      <c r="AA499" s="53">
        <f t="shared" si="102"/>
        <v>14.3</v>
      </c>
      <c r="AB499" s="146">
        <v>2024</v>
      </c>
      <c r="AC499" s="121"/>
      <c r="AD499" s="113"/>
    </row>
    <row r="500" spans="1:30" s="51" customFormat="1" ht="46.8" x14ac:dyDescent="0.3">
      <c r="A500" s="54" t="s">
        <v>18</v>
      </c>
      <c r="B500" s="54" t="s">
        <v>18</v>
      </c>
      <c r="C500" s="54" t="s">
        <v>21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265</v>
      </c>
      <c r="L500" s="54" t="s">
        <v>20</v>
      </c>
      <c r="M500" s="54" t="s">
        <v>21</v>
      </c>
      <c r="N500" s="54" t="s">
        <v>21</v>
      </c>
      <c r="O500" s="54" t="s">
        <v>21</v>
      </c>
      <c r="P500" s="54" t="s">
        <v>21</v>
      </c>
      <c r="Q500" s="54" t="s">
        <v>20</v>
      </c>
      <c r="R500" s="144" t="s">
        <v>329</v>
      </c>
      <c r="S500" s="55" t="s">
        <v>0</v>
      </c>
      <c r="T500" s="1">
        <v>0</v>
      </c>
      <c r="U500" s="1">
        <f>2860.5-100-2760.5</f>
        <v>0</v>
      </c>
      <c r="V500" s="1">
        <f>2860.6-2860.6</f>
        <v>0</v>
      </c>
      <c r="W500" s="1">
        <v>0</v>
      </c>
      <c r="X500" s="1">
        <f>2860.5-100-2760.5</f>
        <v>0</v>
      </c>
      <c r="Y500" s="1">
        <f>2860.6-2860.6</f>
        <v>0</v>
      </c>
      <c r="Z500" s="1">
        <v>2860.5</v>
      </c>
      <c r="AA500" s="59">
        <f t="shared" si="102"/>
        <v>2860.5</v>
      </c>
      <c r="AB500" s="58">
        <v>2024</v>
      </c>
      <c r="AC500" s="33"/>
      <c r="AD500" s="50"/>
    </row>
    <row r="501" spans="1:30" s="51" customFormat="1" ht="46.8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40" t="s">
        <v>275</v>
      </c>
      <c r="S501" s="52" t="s">
        <v>38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>
        <v>2</v>
      </c>
      <c r="AA501" s="49">
        <f t="shared" si="102"/>
        <v>2</v>
      </c>
      <c r="AB501" s="146">
        <v>2024</v>
      </c>
      <c r="AC501" s="33"/>
      <c r="AD501" s="50"/>
    </row>
    <row r="502" spans="1:30" s="51" customFormat="1" ht="46.8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 t="s">
        <v>276</v>
      </c>
      <c r="S502" s="52" t="s">
        <v>52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13.6</v>
      </c>
      <c r="AA502" s="53">
        <f t="shared" si="102"/>
        <v>13.6</v>
      </c>
      <c r="AB502" s="146">
        <v>2024</v>
      </c>
      <c r="AC502" s="33"/>
      <c r="AD502" s="50"/>
    </row>
    <row r="503" spans="1:30" s="51" customFormat="1" ht="46.8" x14ac:dyDescent="0.3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265</v>
      </c>
      <c r="L503" s="54" t="s">
        <v>20</v>
      </c>
      <c r="M503" s="54" t="s">
        <v>21</v>
      </c>
      <c r="N503" s="54" t="s">
        <v>21</v>
      </c>
      <c r="O503" s="54" t="s">
        <v>21</v>
      </c>
      <c r="P503" s="54" t="s">
        <v>21</v>
      </c>
      <c r="Q503" s="54" t="s">
        <v>20</v>
      </c>
      <c r="R503" s="144" t="s">
        <v>328</v>
      </c>
      <c r="S503" s="55" t="s">
        <v>0</v>
      </c>
      <c r="T503" s="1">
        <v>0</v>
      </c>
      <c r="U503" s="1">
        <f>2801.1-100-2701.1</f>
        <v>0</v>
      </c>
      <c r="V503" s="1">
        <f>2801.1-2801.1</f>
        <v>0</v>
      </c>
      <c r="W503" s="1">
        <v>0</v>
      </c>
      <c r="X503" s="1">
        <f>2801.1-100-2701.1</f>
        <v>0</v>
      </c>
      <c r="Y503" s="1">
        <f>2801.1-2801.1</f>
        <v>0</v>
      </c>
      <c r="Z503" s="1">
        <v>2801.1</v>
      </c>
      <c r="AA503" s="59">
        <f t="shared" si="102"/>
        <v>2801.1</v>
      </c>
      <c r="AB503" s="58">
        <v>2024</v>
      </c>
      <c r="AC503" s="33"/>
      <c r="AD503" s="50"/>
    </row>
    <row r="504" spans="1:30" s="51" customFormat="1" ht="46.8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 t="s">
        <v>277</v>
      </c>
      <c r="S504" s="52" t="s">
        <v>38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7</v>
      </c>
      <c r="AA504" s="49">
        <f t="shared" si="102"/>
        <v>7</v>
      </c>
      <c r="AB504" s="146">
        <v>2024</v>
      </c>
      <c r="AC504" s="33"/>
      <c r="AD504" s="50"/>
    </row>
    <row r="505" spans="1:30" s="51" customFormat="1" ht="46.8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278</v>
      </c>
      <c r="S505" s="52" t="s">
        <v>52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11.3</v>
      </c>
      <c r="AA505" s="53">
        <f t="shared" si="102"/>
        <v>11.3</v>
      </c>
      <c r="AB505" s="146">
        <v>2024</v>
      </c>
      <c r="AC505" s="33"/>
      <c r="AD505" s="50"/>
    </row>
    <row r="506" spans="1:30" s="51" customFormat="1" x14ac:dyDescent="0.3">
      <c r="A506" s="54" t="s">
        <v>18</v>
      </c>
      <c r="B506" s="54" t="s">
        <v>24</v>
      </c>
      <c r="C506" s="54" t="s">
        <v>22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265</v>
      </c>
      <c r="L506" s="54" t="s">
        <v>20</v>
      </c>
      <c r="M506" s="54" t="s">
        <v>18</v>
      </c>
      <c r="N506" s="54" t="s">
        <v>18</v>
      </c>
      <c r="O506" s="54" t="s">
        <v>18</v>
      </c>
      <c r="P506" s="54" t="s">
        <v>18</v>
      </c>
      <c r="Q506" s="54" t="s">
        <v>18</v>
      </c>
      <c r="R506" s="158" t="s">
        <v>328</v>
      </c>
      <c r="S506" s="151" t="s">
        <v>0</v>
      </c>
      <c r="T506" s="1">
        <v>0</v>
      </c>
      <c r="U506" s="1">
        <f>2801.1-100-2701.1</f>
        <v>0</v>
      </c>
      <c r="V506" s="1">
        <f>2801.1-2801.1</f>
        <v>0</v>
      </c>
      <c r="W506" s="1">
        <f>SUM(W507:W508)</f>
        <v>15653.2</v>
      </c>
      <c r="X506" s="1">
        <f t="shared" ref="X506:Z506" si="111">SUM(X507:X508)</f>
        <v>5000</v>
      </c>
      <c r="Y506" s="1">
        <f t="shared" si="111"/>
        <v>5000</v>
      </c>
      <c r="Z506" s="1">
        <f t="shared" si="111"/>
        <v>0</v>
      </c>
      <c r="AA506" s="59">
        <f t="shared" ref="AA506:AA513" si="112">SUM(T506:Z506)</f>
        <v>25653.200000000001</v>
      </c>
      <c r="AB506" s="58">
        <v>2023</v>
      </c>
      <c r="AC506" s="33"/>
      <c r="AD506" s="50"/>
    </row>
    <row r="507" spans="1:30" s="51" customFormat="1" x14ac:dyDescent="0.3">
      <c r="A507" s="54" t="s">
        <v>18</v>
      </c>
      <c r="B507" s="54" t="s">
        <v>24</v>
      </c>
      <c r="C507" s="54" t="s">
        <v>22</v>
      </c>
      <c r="D507" s="54" t="s">
        <v>18</v>
      </c>
      <c r="E507" s="54" t="s">
        <v>21</v>
      </c>
      <c r="F507" s="54" t="s">
        <v>18</v>
      </c>
      <c r="G507" s="54" t="s">
        <v>22</v>
      </c>
      <c r="H507" s="54" t="s">
        <v>19</v>
      </c>
      <c r="I507" s="54" t="s">
        <v>24</v>
      </c>
      <c r="J507" s="54" t="s">
        <v>18</v>
      </c>
      <c r="K507" s="54" t="s">
        <v>265</v>
      </c>
      <c r="L507" s="54" t="s">
        <v>20</v>
      </c>
      <c r="M507" s="54" t="s">
        <v>21</v>
      </c>
      <c r="N507" s="54" t="s">
        <v>21</v>
      </c>
      <c r="O507" s="54" t="s">
        <v>21</v>
      </c>
      <c r="P507" s="54" t="s">
        <v>21</v>
      </c>
      <c r="Q507" s="54" t="s">
        <v>20</v>
      </c>
      <c r="R507" s="159"/>
      <c r="S507" s="152"/>
      <c r="T507" s="1">
        <v>0</v>
      </c>
      <c r="U507" s="1">
        <f t="shared" ref="U507:U508" si="113">2801.1-100-2701.1</f>
        <v>0</v>
      </c>
      <c r="V507" s="1">
        <f t="shared" ref="V507:V508" si="114">2801.1-2801.1</f>
        <v>0</v>
      </c>
      <c r="W507" s="1">
        <f>15752-435.9</f>
        <v>15316.1</v>
      </c>
      <c r="X507" s="1">
        <v>5000</v>
      </c>
      <c r="Y507" s="1">
        <v>5000</v>
      </c>
      <c r="Z507" s="1">
        <v>0</v>
      </c>
      <c r="AA507" s="59">
        <f t="shared" si="112"/>
        <v>25316.1</v>
      </c>
      <c r="AB507" s="58">
        <v>2023</v>
      </c>
      <c r="AC507" s="33"/>
      <c r="AD507" s="50"/>
    </row>
    <row r="508" spans="1:30" s="51" customFormat="1" x14ac:dyDescent="0.3">
      <c r="A508" s="54" t="s">
        <v>18</v>
      </c>
      <c r="B508" s="54" t="s">
        <v>24</v>
      </c>
      <c r="C508" s="54" t="s">
        <v>22</v>
      </c>
      <c r="D508" s="54" t="s">
        <v>18</v>
      </c>
      <c r="E508" s="54" t="s">
        <v>21</v>
      </c>
      <c r="F508" s="54" t="s">
        <v>18</v>
      </c>
      <c r="G508" s="54" t="s">
        <v>22</v>
      </c>
      <c r="H508" s="54" t="s">
        <v>19</v>
      </c>
      <c r="I508" s="54" t="s">
        <v>24</v>
      </c>
      <c r="J508" s="54" t="s">
        <v>18</v>
      </c>
      <c r="K508" s="54" t="s">
        <v>265</v>
      </c>
      <c r="L508" s="54" t="s">
        <v>20</v>
      </c>
      <c r="M508" s="54" t="s">
        <v>18</v>
      </c>
      <c r="N508" s="54" t="s">
        <v>18</v>
      </c>
      <c r="O508" s="54" t="s">
        <v>21</v>
      </c>
      <c r="P508" s="54" t="s">
        <v>21</v>
      </c>
      <c r="Q508" s="54" t="s">
        <v>20</v>
      </c>
      <c r="R508" s="160"/>
      <c r="S508" s="153"/>
      <c r="T508" s="1">
        <v>0</v>
      </c>
      <c r="U508" s="1">
        <f t="shared" si="113"/>
        <v>0</v>
      </c>
      <c r="V508" s="1">
        <f t="shared" si="114"/>
        <v>0</v>
      </c>
      <c r="W508" s="1">
        <v>337.1</v>
      </c>
      <c r="X508" s="1">
        <v>0</v>
      </c>
      <c r="Y508" s="1">
        <v>0</v>
      </c>
      <c r="Z508" s="1">
        <v>0</v>
      </c>
      <c r="AA508" s="59">
        <f t="shared" si="112"/>
        <v>337.1</v>
      </c>
      <c r="AB508" s="58">
        <v>2023</v>
      </c>
      <c r="AC508" s="33"/>
      <c r="AD508" s="50"/>
    </row>
    <row r="509" spans="1:30" s="51" customFormat="1" ht="46.8" x14ac:dyDescent="0.3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335</v>
      </c>
      <c r="S509" s="52" t="s">
        <v>38</v>
      </c>
      <c r="T509" s="44">
        <v>0</v>
      </c>
      <c r="U509" s="44">
        <v>0</v>
      </c>
      <c r="V509" s="44">
        <v>0</v>
      </c>
      <c r="W509" s="44">
        <v>2</v>
      </c>
      <c r="X509" s="44">
        <v>1</v>
      </c>
      <c r="Y509" s="44">
        <v>5</v>
      </c>
      <c r="Z509" s="44">
        <v>0</v>
      </c>
      <c r="AA509" s="49">
        <f t="shared" si="112"/>
        <v>8</v>
      </c>
      <c r="AB509" s="146">
        <v>2023</v>
      </c>
      <c r="AC509" s="33"/>
      <c r="AD509" s="50"/>
    </row>
    <row r="510" spans="1:30" s="51" customFormat="1" ht="46.8" x14ac:dyDescent="0.3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 t="s">
        <v>336</v>
      </c>
      <c r="S510" s="52" t="s">
        <v>52</v>
      </c>
      <c r="T510" s="3">
        <v>0</v>
      </c>
      <c r="U510" s="3">
        <v>0</v>
      </c>
      <c r="V510" s="3">
        <v>0</v>
      </c>
      <c r="W510" s="3">
        <v>4</v>
      </c>
      <c r="X510" s="3">
        <v>10.6</v>
      </c>
      <c r="Y510" s="3">
        <v>5</v>
      </c>
      <c r="Z510" s="3">
        <v>0</v>
      </c>
      <c r="AA510" s="53">
        <f t="shared" si="112"/>
        <v>19.600000000000001</v>
      </c>
      <c r="AB510" s="146">
        <v>2023</v>
      </c>
      <c r="AC510" s="33"/>
      <c r="AD510" s="50"/>
    </row>
    <row r="511" spans="1:30" s="51" customFormat="1" ht="31.2" x14ac:dyDescent="0.3">
      <c r="A511" s="54" t="s">
        <v>18</v>
      </c>
      <c r="B511" s="54" t="s">
        <v>18</v>
      </c>
      <c r="C511" s="54" t="s">
        <v>43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18</v>
      </c>
      <c r="L511" s="54" t="s">
        <v>20</v>
      </c>
      <c r="M511" s="54" t="s">
        <v>358</v>
      </c>
      <c r="N511" s="54" t="s">
        <v>359</v>
      </c>
      <c r="O511" s="54" t="s">
        <v>18</v>
      </c>
      <c r="P511" s="54" t="s">
        <v>18</v>
      </c>
      <c r="Q511" s="54" t="s">
        <v>18</v>
      </c>
      <c r="R511" s="77" t="s">
        <v>339</v>
      </c>
      <c r="S511" s="55" t="s">
        <v>0</v>
      </c>
      <c r="T511" s="59">
        <f>10000-9745-255</f>
        <v>0</v>
      </c>
      <c r="U511" s="59">
        <f>226.8-200-26.8</f>
        <v>0</v>
      </c>
      <c r="V511" s="59">
        <f>8228.3-8228.3</f>
        <v>0</v>
      </c>
      <c r="W511" s="59">
        <f>5000-3206.5-1793.5</f>
        <v>0</v>
      </c>
      <c r="X511" s="59">
        <v>5000</v>
      </c>
      <c r="Y511" s="59">
        <v>5000</v>
      </c>
      <c r="Z511" s="59">
        <v>0</v>
      </c>
      <c r="AA511" s="59">
        <f t="shared" si="112"/>
        <v>10000</v>
      </c>
      <c r="AB511" s="58">
        <v>2023</v>
      </c>
      <c r="AC511" s="33"/>
      <c r="AD511" s="50"/>
    </row>
    <row r="512" spans="1:30" s="51" customFormat="1" ht="31.2" x14ac:dyDescent="0.3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78" t="s">
        <v>337</v>
      </c>
      <c r="S512" s="62" t="s">
        <v>52</v>
      </c>
      <c r="T512" s="3">
        <v>0</v>
      </c>
      <c r="U512" s="3">
        <v>0</v>
      </c>
      <c r="V512" s="3">
        <v>0</v>
      </c>
      <c r="W512" s="3">
        <v>0</v>
      </c>
      <c r="X512" s="3">
        <v>5</v>
      </c>
      <c r="Y512" s="3">
        <v>5</v>
      </c>
      <c r="Z512" s="3">
        <v>0</v>
      </c>
      <c r="AA512" s="6">
        <f t="shared" si="112"/>
        <v>10</v>
      </c>
      <c r="AB512" s="41">
        <v>2023</v>
      </c>
      <c r="AC512" s="33"/>
      <c r="AD512" s="50"/>
    </row>
    <row r="513" spans="1:31" s="51" customFormat="1" ht="31.2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78" t="s">
        <v>338</v>
      </c>
      <c r="S513" s="62" t="s">
        <v>38</v>
      </c>
      <c r="T513" s="44">
        <v>0</v>
      </c>
      <c r="U513" s="44">
        <v>0</v>
      </c>
      <c r="V513" s="44">
        <v>0</v>
      </c>
      <c r="W513" s="44">
        <v>0</v>
      </c>
      <c r="X513" s="44">
        <v>5</v>
      </c>
      <c r="Y513" s="44">
        <v>5</v>
      </c>
      <c r="Z513" s="44">
        <v>0</v>
      </c>
      <c r="AA513" s="49">
        <f t="shared" si="112"/>
        <v>10</v>
      </c>
      <c r="AB513" s="41">
        <v>2023</v>
      </c>
      <c r="AC513" s="33"/>
      <c r="AD513" s="50"/>
    </row>
    <row r="514" spans="1:31" ht="78" x14ac:dyDescent="0.3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149" t="s">
        <v>367</v>
      </c>
      <c r="S514" s="55" t="s">
        <v>41</v>
      </c>
      <c r="T514" s="56">
        <v>0</v>
      </c>
      <c r="U514" s="56">
        <v>0</v>
      </c>
      <c r="V514" s="56">
        <v>0</v>
      </c>
      <c r="W514" s="56">
        <v>1</v>
      </c>
      <c r="X514" s="56">
        <v>1</v>
      </c>
      <c r="Y514" s="56">
        <v>1</v>
      </c>
      <c r="Z514" s="56">
        <v>1</v>
      </c>
      <c r="AA514" s="57">
        <v>1</v>
      </c>
      <c r="AB514" s="58">
        <v>2024</v>
      </c>
      <c r="AD514" s="104"/>
      <c r="AE514" s="104"/>
    </row>
    <row r="515" spans="1:31" ht="78" x14ac:dyDescent="0.3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40" t="s">
        <v>368</v>
      </c>
      <c r="S515" s="62" t="s">
        <v>38</v>
      </c>
      <c r="T515" s="44">
        <v>0</v>
      </c>
      <c r="U515" s="44">
        <v>0</v>
      </c>
      <c r="V515" s="44">
        <v>0</v>
      </c>
      <c r="W515" s="44">
        <v>4</v>
      </c>
      <c r="X515" s="44">
        <v>4</v>
      </c>
      <c r="Y515" s="44">
        <v>4</v>
      </c>
      <c r="Z515" s="44">
        <v>4</v>
      </c>
      <c r="AA515" s="49">
        <f>SUM(T515:Z515)</f>
        <v>16</v>
      </c>
      <c r="AB515" s="41">
        <v>2024</v>
      </c>
      <c r="AD515" s="104"/>
      <c r="AE515" s="104"/>
    </row>
    <row r="516" spans="1:31" ht="78" x14ac:dyDescent="0.3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149" t="s">
        <v>369</v>
      </c>
      <c r="S516" s="55" t="s">
        <v>41</v>
      </c>
      <c r="T516" s="56">
        <v>0</v>
      </c>
      <c r="U516" s="56">
        <v>0</v>
      </c>
      <c r="V516" s="56">
        <v>0</v>
      </c>
      <c r="W516" s="56">
        <v>1</v>
      </c>
      <c r="X516" s="56">
        <v>1</v>
      </c>
      <c r="Y516" s="56">
        <v>1</v>
      </c>
      <c r="Z516" s="56">
        <v>1</v>
      </c>
      <c r="AA516" s="57">
        <v>1</v>
      </c>
      <c r="AB516" s="58">
        <v>2024</v>
      </c>
      <c r="AD516" s="104"/>
      <c r="AE516" s="104"/>
    </row>
    <row r="517" spans="1:31" ht="78" x14ac:dyDescent="0.3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372</v>
      </c>
      <c r="S517" s="62" t="s">
        <v>38</v>
      </c>
      <c r="T517" s="44">
        <v>0</v>
      </c>
      <c r="U517" s="44">
        <v>0</v>
      </c>
      <c r="V517" s="44">
        <v>0</v>
      </c>
      <c r="W517" s="44">
        <v>12</v>
      </c>
      <c r="X517" s="44">
        <v>12</v>
      </c>
      <c r="Y517" s="44">
        <v>12</v>
      </c>
      <c r="Z517" s="44">
        <v>12</v>
      </c>
      <c r="AA517" s="49">
        <f>SUM(T517:Z517)</f>
        <v>48</v>
      </c>
      <c r="AB517" s="41">
        <v>2024</v>
      </c>
      <c r="AD517" s="104"/>
      <c r="AE517" s="104"/>
    </row>
    <row r="518" spans="1:31" ht="46.8" x14ac:dyDescent="0.3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150" t="s">
        <v>374</v>
      </c>
      <c r="S518" s="55" t="s">
        <v>41</v>
      </c>
      <c r="T518" s="56">
        <v>0</v>
      </c>
      <c r="U518" s="56">
        <v>0</v>
      </c>
      <c r="V518" s="56">
        <v>0</v>
      </c>
      <c r="W518" s="56">
        <v>1</v>
      </c>
      <c r="X518" s="56">
        <v>0</v>
      </c>
      <c r="Y518" s="56">
        <v>0</v>
      </c>
      <c r="Z518" s="56">
        <v>0</v>
      </c>
      <c r="AA518" s="57">
        <v>1</v>
      </c>
      <c r="AB518" s="58">
        <v>2021</v>
      </c>
      <c r="AD518" s="104"/>
      <c r="AE518" s="104"/>
    </row>
    <row r="519" spans="1:31" ht="46.8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373</v>
      </c>
      <c r="S519" s="62" t="s">
        <v>52</v>
      </c>
      <c r="T519" s="44">
        <v>0</v>
      </c>
      <c r="U519" s="44">
        <v>0</v>
      </c>
      <c r="V519" s="44">
        <v>0</v>
      </c>
      <c r="W519" s="3">
        <v>10</v>
      </c>
      <c r="X519" s="44">
        <v>0</v>
      </c>
      <c r="Y519" s="44">
        <v>0</v>
      </c>
      <c r="Z519" s="44">
        <v>0</v>
      </c>
      <c r="AA519" s="49">
        <f>W519</f>
        <v>10</v>
      </c>
      <c r="AB519" s="41">
        <v>2021</v>
      </c>
      <c r="AD519" s="104"/>
      <c r="AE519" s="104"/>
    </row>
    <row r="520" spans="1:31" ht="47.4" customHeight="1" x14ac:dyDescent="0.3">
      <c r="A520" s="46"/>
      <c r="B520" s="46"/>
      <c r="C520" s="46"/>
      <c r="D520" s="46"/>
      <c r="E520" s="46"/>
      <c r="F520" s="46"/>
      <c r="G520" s="46"/>
      <c r="H520" s="46" t="s">
        <v>19</v>
      </c>
      <c r="I520" s="46" t="s">
        <v>24</v>
      </c>
      <c r="J520" s="46" t="s">
        <v>18</v>
      </c>
      <c r="K520" s="46" t="s">
        <v>18</v>
      </c>
      <c r="L520" s="46" t="s">
        <v>22</v>
      </c>
      <c r="M520" s="46" t="s">
        <v>18</v>
      </c>
      <c r="N520" s="46" t="s">
        <v>18</v>
      </c>
      <c r="O520" s="46" t="s">
        <v>18</v>
      </c>
      <c r="P520" s="46" t="s">
        <v>18</v>
      </c>
      <c r="Q520" s="46" t="s">
        <v>18</v>
      </c>
      <c r="R520" s="100" t="s">
        <v>55</v>
      </c>
      <c r="S520" s="142" t="s">
        <v>0</v>
      </c>
      <c r="T520" s="141">
        <f>T524++T539+T542+T563</f>
        <v>7230.2999999999993</v>
      </c>
      <c r="U520" s="141">
        <f>U524++U539+U542+U563+U575+U573+U577+U579</f>
        <v>12898</v>
      </c>
      <c r="V520" s="141">
        <f>V524++V539+V542+V563</f>
        <v>3228.7</v>
      </c>
      <c r="W520" s="141">
        <f>W524++W539+W542+W563</f>
        <v>4484</v>
      </c>
      <c r="X520" s="141">
        <f>X524++X539+X542+X563</f>
        <v>4484</v>
      </c>
      <c r="Y520" s="141">
        <f>Y524++Y539+Y542+Y563</f>
        <v>4484</v>
      </c>
      <c r="Z520" s="141">
        <f>Z524++Z539+Z542+Z563</f>
        <v>7667.1</v>
      </c>
      <c r="AA520" s="141">
        <f t="shared" si="102"/>
        <v>44476.1</v>
      </c>
      <c r="AB520" s="142">
        <v>2024</v>
      </c>
      <c r="AC520" s="120"/>
    </row>
    <row r="521" spans="1:31" ht="31.2" x14ac:dyDescent="0.3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8" t="s">
        <v>141</v>
      </c>
      <c r="S521" s="146" t="s">
        <v>31</v>
      </c>
      <c r="T521" s="4">
        <f t="shared" ref="T521:Y521" si="115">T525</f>
        <v>10473.4</v>
      </c>
      <c r="U521" s="4">
        <f t="shared" si="115"/>
        <v>4682.5</v>
      </c>
      <c r="V521" s="4">
        <f t="shared" si="115"/>
        <v>4156.2</v>
      </c>
      <c r="W521" s="4">
        <f t="shared" si="115"/>
        <v>7918.3</v>
      </c>
      <c r="X521" s="4">
        <f t="shared" si="115"/>
        <v>7918.3</v>
      </c>
      <c r="Y521" s="4">
        <f t="shared" si="115"/>
        <v>7918.3</v>
      </c>
      <c r="Z521" s="4">
        <f t="shared" ref="Z521" si="116">Z525</f>
        <v>7918.3</v>
      </c>
      <c r="AA521" s="5">
        <f t="shared" si="102"/>
        <v>50985.3</v>
      </c>
      <c r="AB521" s="146">
        <v>2024</v>
      </c>
      <c r="AC521" s="33"/>
    </row>
    <row r="522" spans="1:31" ht="31.2" x14ac:dyDescent="0.3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48" t="s">
        <v>142</v>
      </c>
      <c r="S522" s="146" t="s">
        <v>50</v>
      </c>
      <c r="T522" s="44">
        <f t="shared" ref="T522:Y522" si="117">T543</f>
        <v>450</v>
      </c>
      <c r="U522" s="44">
        <f t="shared" si="117"/>
        <v>450</v>
      </c>
      <c r="V522" s="44">
        <f t="shared" si="117"/>
        <v>0</v>
      </c>
      <c r="W522" s="44">
        <f t="shared" si="117"/>
        <v>0</v>
      </c>
      <c r="X522" s="44">
        <f t="shared" si="117"/>
        <v>0</v>
      </c>
      <c r="Y522" s="44">
        <f t="shared" si="117"/>
        <v>0</v>
      </c>
      <c r="Z522" s="44">
        <f t="shared" ref="Z522" si="118">Z543</f>
        <v>433</v>
      </c>
      <c r="AA522" s="45">
        <f t="shared" ref="AA522:AA523" si="119">SUM(T522:Z522)</f>
        <v>1333</v>
      </c>
      <c r="AB522" s="146">
        <v>2024</v>
      </c>
      <c r="AC522" s="33"/>
    </row>
    <row r="523" spans="1:31" ht="46.2" customHeight="1" x14ac:dyDescent="0.3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48" t="s">
        <v>143</v>
      </c>
      <c r="S523" s="41" t="s">
        <v>38</v>
      </c>
      <c r="T523" s="44">
        <f t="shared" ref="T523:V523" si="120">T564</f>
        <v>27</v>
      </c>
      <c r="U523" s="44">
        <f t="shared" si="120"/>
        <v>4</v>
      </c>
      <c r="V523" s="44">
        <f t="shared" si="120"/>
        <v>16</v>
      </c>
      <c r="W523" s="44">
        <f>W526</f>
        <v>17</v>
      </c>
      <c r="X523" s="44">
        <f t="shared" ref="X523:Z523" si="121">X526</f>
        <v>17</v>
      </c>
      <c r="Y523" s="44">
        <f t="shared" si="121"/>
        <v>17</v>
      </c>
      <c r="Z523" s="44">
        <f t="shared" si="121"/>
        <v>17</v>
      </c>
      <c r="AA523" s="45">
        <f t="shared" si="119"/>
        <v>115</v>
      </c>
      <c r="AB523" s="41">
        <v>2024</v>
      </c>
      <c r="AC523" s="33"/>
    </row>
    <row r="524" spans="1:31" ht="33.6" customHeight="1" x14ac:dyDescent="0.3">
      <c r="A524" s="54"/>
      <c r="B524" s="54"/>
      <c r="C524" s="54"/>
      <c r="D524" s="54" t="s">
        <v>18</v>
      </c>
      <c r="E524" s="54" t="s">
        <v>21</v>
      </c>
      <c r="F524" s="54" t="s">
        <v>18</v>
      </c>
      <c r="G524" s="54" t="s">
        <v>22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43</v>
      </c>
      <c r="N524" s="54" t="s">
        <v>43</v>
      </c>
      <c r="O524" s="54" t="s">
        <v>43</v>
      </c>
      <c r="P524" s="54" t="s">
        <v>43</v>
      </c>
      <c r="Q524" s="54" t="s">
        <v>43</v>
      </c>
      <c r="R524" s="77" t="s">
        <v>144</v>
      </c>
      <c r="S524" s="58" t="s">
        <v>0</v>
      </c>
      <c r="T524" s="59">
        <f>T527+T533+T530+T536</f>
        <v>5760.9</v>
      </c>
      <c r="U524" s="59">
        <f t="shared" ref="U524:Y524" si="122">U527+U533+U530+U536</f>
        <v>5337.7</v>
      </c>
      <c r="V524" s="59">
        <f>V527+V533+V530+V536</f>
        <v>3171</v>
      </c>
      <c r="W524" s="59">
        <f t="shared" si="122"/>
        <v>4484</v>
      </c>
      <c r="X524" s="59">
        <f t="shared" si="122"/>
        <v>4484</v>
      </c>
      <c r="Y524" s="59">
        <f t="shared" si="122"/>
        <v>4484</v>
      </c>
      <c r="Z524" s="59">
        <f t="shared" ref="Z524" si="123">Z527+Z533+Z530+Z536</f>
        <v>4484</v>
      </c>
      <c r="AA524" s="59">
        <f t="shared" ref="AA524:AA540" si="124">SUM(T524:Z524)</f>
        <v>32205.599999999999</v>
      </c>
      <c r="AB524" s="58">
        <v>2024</v>
      </c>
      <c r="AC524" s="120"/>
    </row>
    <row r="525" spans="1:31" ht="31.2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5" t="s">
        <v>141</v>
      </c>
      <c r="S525" s="146" t="s">
        <v>31</v>
      </c>
      <c r="T525" s="3">
        <f>T528+T531+T534+T537</f>
        <v>10473.4</v>
      </c>
      <c r="U525" s="3">
        <f t="shared" ref="U525:Y525" si="125">U528+U531+U534+U537</f>
        <v>4682.5</v>
      </c>
      <c r="V525" s="3">
        <f t="shared" si="125"/>
        <v>4156.2</v>
      </c>
      <c r="W525" s="3">
        <f t="shared" si="125"/>
        <v>7918.3</v>
      </c>
      <c r="X525" s="3">
        <f>X528+X531+X534+X537</f>
        <v>7918.3</v>
      </c>
      <c r="Y525" s="3">
        <f t="shared" si="125"/>
        <v>7918.3</v>
      </c>
      <c r="Z525" s="3">
        <f t="shared" ref="Z525:Z526" si="126">Z528+Z531+Z534+Z537</f>
        <v>7918.3</v>
      </c>
      <c r="AA525" s="5">
        <f t="shared" si="124"/>
        <v>50985.3</v>
      </c>
      <c r="AB525" s="41">
        <v>2024</v>
      </c>
      <c r="AC525" s="123"/>
      <c r="AD525" s="102"/>
    </row>
    <row r="526" spans="1:31" ht="46.8" x14ac:dyDescent="0.3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5" t="s">
        <v>342</v>
      </c>
      <c r="S526" s="146" t="s">
        <v>38</v>
      </c>
      <c r="T526" s="44">
        <f>T529+T532+T535+T538</f>
        <v>0</v>
      </c>
      <c r="U526" s="44">
        <f t="shared" ref="U526:Y526" si="127">U529+U532+U535+U538</f>
        <v>0</v>
      </c>
      <c r="V526" s="44">
        <f t="shared" si="127"/>
        <v>0</v>
      </c>
      <c r="W526" s="44">
        <f t="shared" si="127"/>
        <v>17</v>
      </c>
      <c r="X526" s="44">
        <f t="shared" si="127"/>
        <v>17</v>
      </c>
      <c r="Y526" s="44">
        <f t="shared" si="127"/>
        <v>17</v>
      </c>
      <c r="Z526" s="44">
        <f t="shared" si="126"/>
        <v>17</v>
      </c>
      <c r="AA526" s="45">
        <f t="shared" si="124"/>
        <v>68</v>
      </c>
      <c r="AB526" s="41">
        <v>2024</v>
      </c>
      <c r="AC526" s="123"/>
      <c r="AD526" s="102"/>
    </row>
    <row r="527" spans="1:31" ht="31.2" x14ac:dyDescent="0.3">
      <c r="A527" s="54" t="s">
        <v>18</v>
      </c>
      <c r="B527" s="54" t="s">
        <v>18</v>
      </c>
      <c r="C527" s="54" t="s">
        <v>22</v>
      </c>
      <c r="D527" s="54" t="s">
        <v>18</v>
      </c>
      <c r="E527" s="54" t="s">
        <v>21</v>
      </c>
      <c r="F527" s="54" t="s">
        <v>18</v>
      </c>
      <c r="G527" s="54" t="s">
        <v>22</v>
      </c>
      <c r="H527" s="54" t="s">
        <v>19</v>
      </c>
      <c r="I527" s="54" t="s">
        <v>24</v>
      </c>
      <c r="J527" s="54" t="s">
        <v>18</v>
      </c>
      <c r="K527" s="54" t="s">
        <v>18</v>
      </c>
      <c r="L527" s="54" t="s">
        <v>22</v>
      </c>
      <c r="M527" s="54" t="s">
        <v>43</v>
      </c>
      <c r="N527" s="54" t="s">
        <v>43</v>
      </c>
      <c r="O527" s="54" t="s">
        <v>43</v>
      </c>
      <c r="P527" s="54" t="s">
        <v>43</v>
      </c>
      <c r="Q527" s="54" t="s">
        <v>43</v>
      </c>
      <c r="R527" s="77" t="s">
        <v>145</v>
      </c>
      <c r="S527" s="55" t="s">
        <v>0</v>
      </c>
      <c r="T527" s="1">
        <f>3617.1-376.2-40-150</f>
        <v>3050.9</v>
      </c>
      <c r="U527" s="1">
        <f>2917.1-100</f>
        <v>2817.1</v>
      </c>
      <c r="V527" s="1">
        <v>1090.5999999999999</v>
      </c>
      <c r="W527" s="1">
        <v>2417.1</v>
      </c>
      <c r="X527" s="1">
        <v>2417.1</v>
      </c>
      <c r="Y527" s="1">
        <v>2417.1</v>
      </c>
      <c r="Z527" s="1">
        <v>2417.1</v>
      </c>
      <c r="AA527" s="59">
        <f t="shared" si="124"/>
        <v>16627</v>
      </c>
      <c r="AB527" s="58">
        <v>2024</v>
      </c>
      <c r="AC527" s="119"/>
      <c r="AD527" s="102"/>
      <c r="AE527" s="102"/>
    </row>
    <row r="528" spans="1:31" ht="31.2" x14ac:dyDescent="0.3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1" t="s">
        <v>343</v>
      </c>
      <c r="S528" s="146" t="s">
        <v>31</v>
      </c>
      <c r="T528" s="3">
        <v>4849</v>
      </c>
      <c r="U528" s="3">
        <f>4307-1114</f>
        <v>3193</v>
      </c>
      <c r="V528" s="3">
        <v>1569</v>
      </c>
      <c r="W528" s="3">
        <v>4528.6000000000004</v>
      </c>
      <c r="X528" s="3">
        <v>4528.6000000000004</v>
      </c>
      <c r="Y528" s="3">
        <v>4528.6000000000004</v>
      </c>
      <c r="Z528" s="3">
        <v>4528.6000000000004</v>
      </c>
      <c r="AA528" s="5">
        <f t="shared" si="124"/>
        <v>27725.4</v>
      </c>
      <c r="AB528" s="41">
        <v>2024</v>
      </c>
      <c r="AC528" s="123"/>
      <c r="AD528" s="102"/>
    </row>
    <row r="529" spans="1:34" ht="46.8" x14ac:dyDescent="0.3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61" t="s">
        <v>344</v>
      </c>
      <c r="S529" s="146" t="s">
        <v>38</v>
      </c>
      <c r="T529" s="44">
        <v>0</v>
      </c>
      <c r="U529" s="44">
        <v>0</v>
      </c>
      <c r="V529" s="44">
        <v>0</v>
      </c>
      <c r="W529" s="44">
        <v>4</v>
      </c>
      <c r="X529" s="44">
        <v>4</v>
      </c>
      <c r="Y529" s="44">
        <v>4</v>
      </c>
      <c r="Z529" s="44">
        <v>4</v>
      </c>
      <c r="AA529" s="45">
        <f t="shared" si="124"/>
        <v>16</v>
      </c>
      <c r="AB529" s="41">
        <v>2024</v>
      </c>
      <c r="AC529" s="123"/>
      <c r="AD529" s="102"/>
    </row>
    <row r="530" spans="1:34" ht="31.2" x14ac:dyDescent="0.3">
      <c r="A530" s="54" t="s">
        <v>18</v>
      </c>
      <c r="B530" s="54" t="s">
        <v>18</v>
      </c>
      <c r="C530" s="54" t="s">
        <v>24</v>
      </c>
      <c r="D530" s="54" t="s">
        <v>18</v>
      </c>
      <c r="E530" s="54" t="s">
        <v>21</v>
      </c>
      <c r="F530" s="54" t="s">
        <v>18</v>
      </c>
      <c r="G530" s="54" t="s">
        <v>22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43</v>
      </c>
      <c r="N530" s="54" t="s">
        <v>43</v>
      </c>
      <c r="O530" s="54" t="s">
        <v>43</v>
      </c>
      <c r="P530" s="54" t="s">
        <v>43</v>
      </c>
      <c r="Q530" s="54" t="s">
        <v>43</v>
      </c>
      <c r="R530" s="77" t="s">
        <v>146</v>
      </c>
      <c r="S530" s="55" t="s">
        <v>0</v>
      </c>
      <c r="T530" s="1">
        <f>398.5-63.6-24.8</f>
        <v>310.09999999999997</v>
      </c>
      <c r="U530" s="1">
        <f>398.5-18.9</f>
        <v>379.6</v>
      </c>
      <c r="V530" s="1">
        <f>398.5-27.6</f>
        <v>370.9</v>
      </c>
      <c r="W530" s="1">
        <v>399.6</v>
      </c>
      <c r="X530" s="1">
        <v>399.6</v>
      </c>
      <c r="Y530" s="1">
        <v>399.6</v>
      </c>
      <c r="Z530" s="1">
        <v>399.6</v>
      </c>
      <c r="AA530" s="59">
        <f t="shared" si="124"/>
        <v>2658.9999999999995</v>
      </c>
      <c r="AB530" s="58">
        <v>2024</v>
      </c>
      <c r="AC530" s="119"/>
      <c r="AD530" s="102"/>
    </row>
    <row r="531" spans="1:34" ht="31.2" x14ac:dyDescent="0.3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61" t="s">
        <v>345</v>
      </c>
      <c r="S531" s="146" t="s">
        <v>31</v>
      </c>
      <c r="T531" s="4">
        <v>421.4</v>
      </c>
      <c r="U531" s="4">
        <v>195</v>
      </c>
      <c r="V531" s="4">
        <v>554</v>
      </c>
      <c r="W531" s="3">
        <v>587</v>
      </c>
      <c r="X531" s="3">
        <v>587</v>
      </c>
      <c r="Y531" s="3">
        <v>587</v>
      </c>
      <c r="Z531" s="3">
        <v>587</v>
      </c>
      <c r="AA531" s="6">
        <f t="shared" si="124"/>
        <v>3518.4</v>
      </c>
      <c r="AB531" s="41">
        <v>2024</v>
      </c>
      <c r="AC531" s="123"/>
      <c r="AD531" s="102"/>
    </row>
    <row r="532" spans="1:34" ht="46.8" x14ac:dyDescent="0.3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61" t="s">
        <v>346</v>
      </c>
      <c r="S532" s="146" t="s">
        <v>38</v>
      </c>
      <c r="T532" s="2">
        <v>0</v>
      </c>
      <c r="U532" s="2">
        <v>0</v>
      </c>
      <c r="V532" s="2">
        <v>0</v>
      </c>
      <c r="W532" s="44">
        <v>2</v>
      </c>
      <c r="X532" s="44">
        <v>2</v>
      </c>
      <c r="Y532" s="44">
        <v>2</v>
      </c>
      <c r="Z532" s="44">
        <v>2</v>
      </c>
      <c r="AA532" s="49">
        <f t="shared" ref="AA532" si="128">SUM(T532:Z532)</f>
        <v>8</v>
      </c>
      <c r="AB532" s="41">
        <v>2024</v>
      </c>
      <c r="AC532" s="123"/>
      <c r="AD532" s="102"/>
    </row>
    <row r="533" spans="1:34" ht="31.2" x14ac:dyDescent="0.3">
      <c r="A533" s="54" t="s">
        <v>18</v>
      </c>
      <c r="B533" s="54" t="s">
        <v>18</v>
      </c>
      <c r="C533" s="54" t="s">
        <v>21</v>
      </c>
      <c r="D533" s="54" t="s">
        <v>18</v>
      </c>
      <c r="E533" s="54" t="s">
        <v>21</v>
      </c>
      <c r="F533" s="54" t="s">
        <v>18</v>
      </c>
      <c r="G533" s="54" t="s">
        <v>22</v>
      </c>
      <c r="H533" s="54" t="s">
        <v>19</v>
      </c>
      <c r="I533" s="54" t="s">
        <v>24</v>
      </c>
      <c r="J533" s="54" t="s">
        <v>18</v>
      </c>
      <c r="K533" s="54" t="s">
        <v>18</v>
      </c>
      <c r="L533" s="54" t="s">
        <v>22</v>
      </c>
      <c r="M533" s="54" t="s">
        <v>43</v>
      </c>
      <c r="N533" s="54" t="s">
        <v>43</v>
      </c>
      <c r="O533" s="54" t="s">
        <v>43</v>
      </c>
      <c r="P533" s="54" t="s">
        <v>43</v>
      </c>
      <c r="Q533" s="54" t="s">
        <v>43</v>
      </c>
      <c r="R533" s="69" t="s">
        <v>147</v>
      </c>
      <c r="S533" s="55" t="s">
        <v>0</v>
      </c>
      <c r="T533" s="1">
        <f>1961.8-500-47.8</f>
        <v>1414</v>
      </c>
      <c r="U533" s="1">
        <f>1163-0.4</f>
        <v>1162.5999999999999</v>
      </c>
      <c r="V533" s="1">
        <f>1165.6-57.2</f>
        <v>1108.3999999999999</v>
      </c>
      <c r="W533" s="1">
        <v>1166.9000000000001</v>
      </c>
      <c r="X533" s="1">
        <v>1166.9000000000001</v>
      </c>
      <c r="Y533" s="1">
        <v>1166.9000000000001</v>
      </c>
      <c r="Z533" s="1">
        <v>1166.9000000000001</v>
      </c>
      <c r="AA533" s="59">
        <f t="shared" si="124"/>
        <v>8352.5999999999985</v>
      </c>
      <c r="AB533" s="58">
        <v>2024</v>
      </c>
      <c r="AC533" s="119"/>
      <c r="AD533" s="102"/>
    </row>
    <row r="534" spans="1:34" ht="31.2" x14ac:dyDescent="0.3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61" t="s">
        <v>354</v>
      </c>
      <c r="S534" s="146" t="s">
        <v>31</v>
      </c>
      <c r="T534" s="4">
        <v>3300</v>
      </c>
      <c r="U534" s="4">
        <v>1194.5</v>
      </c>
      <c r="V534" s="4">
        <v>1600</v>
      </c>
      <c r="W534" s="3">
        <v>2235</v>
      </c>
      <c r="X534" s="3">
        <v>2235</v>
      </c>
      <c r="Y534" s="3">
        <v>2235</v>
      </c>
      <c r="Z534" s="3">
        <v>2235</v>
      </c>
      <c r="AA534" s="5">
        <f t="shared" si="124"/>
        <v>15034.5</v>
      </c>
      <c r="AB534" s="41">
        <v>2024</v>
      </c>
      <c r="AC534" s="123"/>
      <c r="AD534" s="102"/>
    </row>
    <row r="535" spans="1:34" ht="46.8" x14ac:dyDescent="0.3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61" t="s">
        <v>355</v>
      </c>
      <c r="S535" s="146" t="s">
        <v>38</v>
      </c>
      <c r="T535" s="2">
        <v>0</v>
      </c>
      <c r="U535" s="2">
        <v>0</v>
      </c>
      <c r="V535" s="2">
        <v>0</v>
      </c>
      <c r="W535" s="44">
        <v>3</v>
      </c>
      <c r="X535" s="44">
        <v>3</v>
      </c>
      <c r="Y535" s="44">
        <v>3</v>
      </c>
      <c r="Z535" s="44">
        <v>3</v>
      </c>
      <c r="AA535" s="45">
        <f t="shared" ref="AA535" si="129">SUM(T535:Z535)</f>
        <v>12</v>
      </c>
      <c r="AB535" s="41">
        <v>2024</v>
      </c>
      <c r="AC535" s="139"/>
      <c r="AD535" s="102"/>
    </row>
    <row r="536" spans="1:34" ht="31.2" x14ac:dyDescent="0.3">
      <c r="A536" s="54" t="s">
        <v>18</v>
      </c>
      <c r="B536" s="54" t="s">
        <v>18</v>
      </c>
      <c r="C536" s="54" t="s">
        <v>25</v>
      </c>
      <c r="D536" s="54" t="s">
        <v>18</v>
      </c>
      <c r="E536" s="54" t="s">
        <v>21</v>
      </c>
      <c r="F536" s="54" t="s">
        <v>18</v>
      </c>
      <c r="G536" s="54" t="s">
        <v>22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43</v>
      </c>
      <c r="N536" s="54" t="s">
        <v>43</v>
      </c>
      <c r="O536" s="54" t="s">
        <v>43</v>
      </c>
      <c r="P536" s="54" t="s">
        <v>43</v>
      </c>
      <c r="Q536" s="54" t="s">
        <v>43</v>
      </c>
      <c r="R536" s="69" t="s">
        <v>148</v>
      </c>
      <c r="S536" s="55" t="s">
        <v>0</v>
      </c>
      <c r="T536" s="1">
        <f>1502-455.3-60.8</f>
        <v>985.90000000000009</v>
      </c>
      <c r="U536" s="1">
        <f>1000-21.6</f>
        <v>978.4</v>
      </c>
      <c r="V536" s="1">
        <f>700-98.9</f>
        <v>601.1</v>
      </c>
      <c r="W536" s="1">
        <v>500.4</v>
      </c>
      <c r="X536" s="1">
        <v>500.4</v>
      </c>
      <c r="Y536" s="1">
        <v>500.4</v>
      </c>
      <c r="Z536" s="1">
        <v>500.4</v>
      </c>
      <c r="AA536" s="59">
        <f t="shared" si="124"/>
        <v>4567</v>
      </c>
      <c r="AB536" s="58">
        <v>2024</v>
      </c>
      <c r="AC536" s="120"/>
      <c r="AD536" s="12"/>
    </row>
    <row r="537" spans="1:34" ht="31.2" x14ac:dyDescent="0.3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40" t="s">
        <v>356</v>
      </c>
      <c r="S537" s="146" t="s">
        <v>31</v>
      </c>
      <c r="T537" s="3">
        <v>1903</v>
      </c>
      <c r="U537" s="3">
        <v>100</v>
      </c>
      <c r="V537" s="3">
        <v>433.2</v>
      </c>
      <c r="W537" s="3">
        <v>567.70000000000005</v>
      </c>
      <c r="X537" s="3">
        <v>567.70000000000005</v>
      </c>
      <c r="Y537" s="3">
        <v>567.70000000000005</v>
      </c>
      <c r="Z537" s="3">
        <v>567.70000000000005</v>
      </c>
      <c r="AA537" s="5">
        <f t="shared" si="124"/>
        <v>4706.9999999999991</v>
      </c>
      <c r="AB537" s="41">
        <v>2024</v>
      </c>
      <c r="AC537" s="123"/>
      <c r="AD537" s="102"/>
    </row>
    <row r="538" spans="1:34" ht="46.8" x14ac:dyDescent="0.3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61" t="s">
        <v>357</v>
      </c>
      <c r="S538" s="146" t="s">
        <v>38</v>
      </c>
      <c r="T538" s="44">
        <v>0</v>
      </c>
      <c r="U538" s="44">
        <v>0</v>
      </c>
      <c r="V538" s="44">
        <v>0</v>
      </c>
      <c r="W538" s="44">
        <v>8</v>
      </c>
      <c r="X538" s="44">
        <v>8</v>
      </c>
      <c r="Y538" s="44">
        <v>8</v>
      </c>
      <c r="Z538" s="44">
        <v>8</v>
      </c>
      <c r="AA538" s="45">
        <f t="shared" ref="AA538" si="130">SUM(T538:Z538)</f>
        <v>32</v>
      </c>
      <c r="AB538" s="41">
        <v>2024</v>
      </c>
      <c r="AC538" s="139"/>
      <c r="AD538" s="102"/>
    </row>
    <row r="539" spans="1:34" ht="46.8" customHeight="1" x14ac:dyDescent="0.3">
      <c r="A539" s="54" t="s">
        <v>18</v>
      </c>
      <c r="B539" s="54" t="s">
        <v>24</v>
      </c>
      <c r="C539" s="54" t="s">
        <v>22</v>
      </c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148" t="s">
        <v>360</v>
      </c>
      <c r="S539" s="55" t="s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1782</v>
      </c>
      <c r="AA539" s="59">
        <f t="shared" si="124"/>
        <v>1782</v>
      </c>
      <c r="AB539" s="58">
        <v>2024</v>
      </c>
      <c r="AC539" s="33"/>
    </row>
    <row r="540" spans="1:34" s="72" customFormat="1" ht="31.2" customHeight="1" x14ac:dyDescent="0.3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48" t="s">
        <v>361</v>
      </c>
      <c r="S540" s="41" t="s">
        <v>31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5619</v>
      </c>
      <c r="AA540" s="6">
        <f t="shared" si="124"/>
        <v>5619</v>
      </c>
      <c r="AB540" s="41">
        <v>2024</v>
      </c>
      <c r="AC540" s="91"/>
      <c r="AD540" s="140"/>
      <c r="AE540" s="113"/>
      <c r="AF540" s="113"/>
      <c r="AG540" s="113"/>
      <c r="AH540" s="51"/>
    </row>
    <row r="541" spans="1:34" ht="0.75" hidden="1" customHeight="1" x14ac:dyDescent="0.3">
      <c r="A541" s="54"/>
      <c r="B541" s="54"/>
      <c r="C541" s="54"/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18</v>
      </c>
      <c r="I541" s="54" t="s">
        <v>23</v>
      </c>
      <c r="J541" s="54" t="s">
        <v>18</v>
      </c>
      <c r="K541" s="54" t="s">
        <v>18</v>
      </c>
      <c r="L541" s="54" t="s">
        <v>20</v>
      </c>
      <c r="M541" s="54" t="s">
        <v>19</v>
      </c>
      <c r="N541" s="54" t="s">
        <v>18</v>
      </c>
      <c r="O541" s="54" t="s">
        <v>21</v>
      </c>
      <c r="P541" s="54" t="s">
        <v>21</v>
      </c>
      <c r="Q541" s="54" t="s">
        <v>18</v>
      </c>
      <c r="R541" s="157" t="s">
        <v>149</v>
      </c>
      <c r="S541" s="55" t="s">
        <v>0</v>
      </c>
      <c r="T541" s="1">
        <f t="shared" ref="T541:Y542" si="131">T544+T547+T550+T553</f>
        <v>1308.2000000000003</v>
      </c>
      <c r="U541" s="1">
        <f t="shared" si="131"/>
        <v>1308.2000000000003</v>
      </c>
      <c r="V541" s="1">
        <f t="shared" si="131"/>
        <v>1308.2000000000003</v>
      </c>
      <c r="W541" s="1">
        <f t="shared" si="131"/>
        <v>1308.2000000000003</v>
      </c>
      <c r="X541" s="1">
        <f t="shared" si="131"/>
        <v>1308.2000000000003</v>
      </c>
      <c r="Y541" s="1">
        <f t="shared" si="131"/>
        <v>1308.2000000000003</v>
      </c>
      <c r="Z541" s="1"/>
      <c r="AA541" s="59">
        <f>T541+U541+V541+W541+X541+Y541</f>
        <v>7849.2000000000025</v>
      </c>
      <c r="AB541" s="73">
        <v>2016</v>
      </c>
      <c r="AC541" s="33"/>
      <c r="AD541" s="12"/>
      <c r="AE541" s="12"/>
    </row>
    <row r="542" spans="1:34" ht="31.2" customHeight="1" x14ac:dyDescent="0.3">
      <c r="A542" s="54"/>
      <c r="B542" s="54"/>
      <c r="C542" s="54"/>
      <c r="D542" s="54" t="s">
        <v>18</v>
      </c>
      <c r="E542" s="54" t="s">
        <v>24</v>
      </c>
      <c r="F542" s="54" t="s">
        <v>18</v>
      </c>
      <c r="G542" s="54" t="s">
        <v>21</v>
      </c>
      <c r="H542" s="54" t="s">
        <v>19</v>
      </c>
      <c r="I542" s="54" t="s">
        <v>24</v>
      </c>
      <c r="J542" s="54" t="s">
        <v>18</v>
      </c>
      <c r="K542" s="54" t="s">
        <v>18</v>
      </c>
      <c r="L542" s="54" t="s">
        <v>22</v>
      </c>
      <c r="M542" s="54" t="s">
        <v>19</v>
      </c>
      <c r="N542" s="54" t="s">
        <v>18</v>
      </c>
      <c r="O542" s="54" t="s">
        <v>21</v>
      </c>
      <c r="P542" s="54" t="s">
        <v>21</v>
      </c>
      <c r="Q542" s="54" t="s">
        <v>18</v>
      </c>
      <c r="R542" s="157"/>
      <c r="S542" s="58" t="s">
        <v>0</v>
      </c>
      <c r="T542" s="59">
        <f t="shared" si="131"/>
        <v>1399.4</v>
      </c>
      <c r="U542" s="59">
        <f>U545+U548+U551+U554+U558</f>
        <v>802.7</v>
      </c>
      <c r="V542" s="59">
        <f t="shared" si="131"/>
        <v>0</v>
      </c>
      <c r="W542" s="59">
        <f t="shared" si="131"/>
        <v>0</v>
      </c>
      <c r="X542" s="59">
        <f t="shared" si="131"/>
        <v>0</v>
      </c>
      <c r="Y542" s="59">
        <f t="shared" si="131"/>
        <v>0</v>
      </c>
      <c r="Z542" s="59">
        <f t="shared" ref="Z542" si="132">Z545+Z548+Z551+Z554</f>
        <v>1401.1000000000001</v>
      </c>
      <c r="AA542" s="59">
        <f>SUM(T542:Z542)</f>
        <v>3603.2000000000007</v>
      </c>
      <c r="AB542" s="58">
        <v>2024</v>
      </c>
      <c r="AC542" s="120"/>
      <c r="AD542" s="12"/>
      <c r="AE542" s="12"/>
    </row>
    <row r="543" spans="1:34" ht="31.2" x14ac:dyDescent="0.3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40" t="s">
        <v>150</v>
      </c>
      <c r="S543" s="146" t="s">
        <v>50</v>
      </c>
      <c r="T543" s="44">
        <f t="shared" ref="T543:Y543" si="133">T546+T549+T552+T557</f>
        <v>450</v>
      </c>
      <c r="U543" s="44">
        <f>U546+U549+U552+U557+U562</f>
        <v>450</v>
      </c>
      <c r="V543" s="44">
        <f t="shared" si="133"/>
        <v>0</v>
      </c>
      <c r="W543" s="44">
        <f t="shared" si="133"/>
        <v>0</v>
      </c>
      <c r="X543" s="44">
        <f t="shared" si="133"/>
        <v>0</v>
      </c>
      <c r="Y543" s="44">
        <f t="shared" si="133"/>
        <v>0</v>
      </c>
      <c r="Z543" s="44">
        <f t="shared" ref="Z543" si="134">Z546+Z549+Z552+Z557</f>
        <v>433</v>
      </c>
      <c r="AA543" s="49">
        <f>SUM(T543:Z543)</f>
        <v>1333</v>
      </c>
      <c r="AB543" s="41">
        <v>2024</v>
      </c>
      <c r="AC543" s="33"/>
      <c r="AD543" s="12"/>
      <c r="AE543" s="12"/>
    </row>
    <row r="544" spans="1:34" ht="36.75" hidden="1" customHeight="1" x14ac:dyDescent="0.3">
      <c r="A544" s="54" t="s">
        <v>18</v>
      </c>
      <c r="B544" s="54" t="s">
        <v>18</v>
      </c>
      <c r="C544" s="54" t="s">
        <v>22</v>
      </c>
      <c r="D544" s="54" t="s">
        <v>18</v>
      </c>
      <c r="E544" s="54" t="s">
        <v>21</v>
      </c>
      <c r="F544" s="54" t="s">
        <v>18</v>
      </c>
      <c r="G544" s="54" t="s">
        <v>22</v>
      </c>
      <c r="H544" s="54" t="s">
        <v>18</v>
      </c>
      <c r="I544" s="54" t="s">
        <v>23</v>
      </c>
      <c r="J544" s="54" t="s">
        <v>18</v>
      </c>
      <c r="K544" s="54" t="s">
        <v>18</v>
      </c>
      <c r="L544" s="54" t="s">
        <v>20</v>
      </c>
      <c r="M544" s="54" t="s">
        <v>19</v>
      </c>
      <c r="N544" s="54" t="s">
        <v>18</v>
      </c>
      <c r="O544" s="54" t="s">
        <v>21</v>
      </c>
      <c r="P544" s="54" t="s">
        <v>21</v>
      </c>
      <c r="Q544" s="54" t="s">
        <v>18</v>
      </c>
      <c r="R544" s="161" t="s">
        <v>151</v>
      </c>
      <c r="S544" s="55" t="s">
        <v>0</v>
      </c>
      <c r="T544" s="1">
        <f t="shared" ref="T544:Z544" si="135">472.4-26.9</f>
        <v>445.5</v>
      </c>
      <c r="U544" s="1">
        <f t="shared" si="135"/>
        <v>445.5</v>
      </c>
      <c r="V544" s="1">
        <f t="shared" si="135"/>
        <v>445.5</v>
      </c>
      <c r="W544" s="1">
        <f t="shared" si="135"/>
        <v>445.5</v>
      </c>
      <c r="X544" s="1">
        <f t="shared" si="135"/>
        <v>445.5</v>
      </c>
      <c r="Y544" s="1">
        <f t="shared" si="135"/>
        <v>445.5</v>
      </c>
      <c r="Z544" s="1">
        <f t="shared" si="135"/>
        <v>445.5</v>
      </c>
      <c r="AA544" s="59">
        <f t="shared" ref="AA544:AA553" si="136">T544+U544+V544+W544+X544+Y544</f>
        <v>2673</v>
      </c>
      <c r="AB544" s="41">
        <v>2023</v>
      </c>
      <c r="AC544" s="33"/>
      <c r="AD544" s="12"/>
      <c r="AE544" s="12"/>
    </row>
    <row r="545" spans="1:29" ht="31.2" customHeight="1" x14ac:dyDescent="0.3">
      <c r="A545" s="54" t="s">
        <v>18</v>
      </c>
      <c r="B545" s="54" t="s">
        <v>18</v>
      </c>
      <c r="C545" s="54" t="s">
        <v>22</v>
      </c>
      <c r="D545" s="54" t="s">
        <v>18</v>
      </c>
      <c r="E545" s="54" t="s">
        <v>24</v>
      </c>
      <c r="F545" s="54" t="s">
        <v>18</v>
      </c>
      <c r="G545" s="54" t="s">
        <v>21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19</v>
      </c>
      <c r="N545" s="54" t="s">
        <v>18</v>
      </c>
      <c r="O545" s="54" t="s">
        <v>21</v>
      </c>
      <c r="P545" s="54" t="s">
        <v>21</v>
      </c>
      <c r="Q545" s="54" t="s">
        <v>18</v>
      </c>
      <c r="R545" s="161"/>
      <c r="S545" s="55" t="s">
        <v>0</v>
      </c>
      <c r="T545" s="1">
        <f t="shared" ref="T545:Z545" si="137">445.5+45.8</f>
        <v>491.3</v>
      </c>
      <c r="U545" s="1">
        <f>445.5+45.8+47.5-415.7</f>
        <v>123.09999999999997</v>
      </c>
      <c r="V545" s="1">
        <f>445.5+45.8+53.6-544.9</f>
        <v>0</v>
      </c>
      <c r="W545" s="1">
        <f t="shared" ref="W545:X545" si="138">445.5+45.8+53.6-544.9</f>
        <v>0</v>
      </c>
      <c r="X545" s="1">
        <f t="shared" si="138"/>
        <v>0</v>
      </c>
      <c r="Y545" s="1">
        <v>0</v>
      </c>
      <c r="Z545" s="1">
        <f t="shared" si="137"/>
        <v>491.3</v>
      </c>
      <c r="AA545" s="59">
        <f>SUM(T545:Z545)</f>
        <v>1105.7</v>
      </c>
      <c r="AB545" s="58">
        <v>2024</v>
      </c>
      <c r="AC545" s="120"/>
    </row>
    <row r="546" spans="1:29" ht="31.2" customHeight="1" x14ac:dyDescent="0.3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61" t="s">
        <v>152</v>
      </c>
      <c r="S546" s="146" t="s">
        <v>50</v>
      </c>
      <c r="T546" s="2">
        <v>158</v>
      </c>
      <c r="U546" s="44">
        <v>37</v>
      </c>
      <c r="V546" s="2">
        <f>154-154</f>
        <v>0</v>
      </c>
      <c r="W546" s="2">
        <v>0</v>
      </c>
      <c r="X546" s="2">
        <v>0</v>
      </c>
      <c r="Y546" s="2">
        <v>0</v>
      </c>
      <c r="Z546" s="2">
        <v>148</v>
      </c>
      <c r="AA546" s="49">
        <f>SUM(T546:Z546)</f>
        <v>343</v>
      </c>
      <c r="AB546" s="41">
        <v>2024</v>
      </c>
      <c r="AC546" s="33"/>
    </row>
    <row r="547" spans="1:29" ht="36" hidden="1" customHeight="1" x14ac:dyDescent="0.3">
      <c r="A547" s="54" t="s">
        <v>18</v>
      </c>
      <c r="B547" s="54" t="s">
        <v>18</v>
      </c>
      <c r="C547" s="54" t="s">
        <v>24</v>
      </c>
      <c r="D547" s="54" t="s">
        <v>18</v>
      </c>
      <c r="E547" s="54" t="s">
        <v>21</v>
      </c>
      <c r="F547" s="54" t="s">
        <v>18</v>
      </c>
      <c r="G547" s="54" t="s">
        <v>22</v>
      </c>
      <c r="H547" s="54" t="s">
        <v>18</v>
      </c>
      <c r="I547" s="54" t="s">
        <v>23</v>
      </c>
      <c r="J547" s="54" t="s">
        <v>18</v>
      </c>
      <c r="K547" s="54" t="s">
        <v>18</v>
      </c>
      <c r="L547" s="54" t="s">
        <v>20</v>
      </c>
      <c r="M547" s="54" t="s">
        <v>19</v>
      </c>
      <c r="N547" s="54" t="s">
        <v>18</v>
      </c>
      <c r="O547" s="54" t="s">
        <v>21</v>
      </c>
      <c r="P547" s="54" t="s">
        <v>21</v>
      </c>
      <c r="Q547" s="54" t="s">
        <v>18</v>
      </c>
      <c r="R547" s="163" t="s">
        <v>151</v>
      </c>
      <c r="S547" s="55" t="s">
        <v>0</v>
      </c>
      <c r="T547" s="1">
        <f t="shared" ref="T547:Z547" si="139">302-17.3</f>
        <v>284.7</v>
      </c>
      <c r="U547" s="1">
        <f t="shared" si="139"/>
        <v>284.7</v>
      </c>
      <c r="V547" s="1">
        <f t="shared" si="139"/>
        <v>284.7</v>
      </c>
      <c r="W547" s="1">
        <f t="shared" si="139"/>
        <v>284.7</v>
      </c>
      <c r="X547" s="1">
        <f t="shared" si="139"/>
        <v>284.7</v>
      </c>
      <c r="Y547" s="1">
        <f t="shared" si="139"/>
        <v>284.7</v>
      </c>
      <c r="Z547" s="1">
        <f t="shared" si="139"/>
        <v>284.7</v>
      </c>
      <c r="AA547" s="59">
        <f t="shared" si="136"/>
        <v>1708.2</v>
      </c>
      <c r="AB547" s="41">
        <v>2023</v>
      </c>
      <c r="AC547" s="33"/>
    </row>
    <row r="548" spans="1:29" ht="31.2" customHeight="1" x14ac:dyDescent="0.3">
      <c r="A548" s="54" t="s">
        <v>18</v>
      </c>
      <c r="B548" s="54" t="s">
        <v>18</v>
      </c>
      <c r="C548" s="54" t="s">
        <v>24</v>
      </c>
      <c r="D548" s="54" t="s">
        <v>18</v>
      </c>
      <c r="E548" s="54" t="s">
        <v>24</v>
      </c>
      <c r="F548" s="54" t="s">
        <v>18</v>
      </c>
      <c r="G548" s="54" t="s">
        <v>21</v>
      </c>
      <c r="H548" s="54" t="s">
        <v>19</v>
      </c>
      <c r="I548" s="54" t="s">
        <v>24</v>
      </c>
      <c r="J548" s="54" t="s">
        <v>18</v>
      </c>
      <c r="K548" s="54" t="s">
        <v>18</v>
      </c>
      <c r="L548" s="54" t="s">
        <v>22</v>
      </c>
      <c r="M548" s="54" t="s">
        <v>19</v>
      </c>
      <c r="N548" s="54" t="s">
        <v>18</v>
      </c>
      <c r="O548" s="54" t="s">
        <v>21</v>
      </c>
      <c r="P548" s="54" t="s">
        <v>21</v>
      </c>
      <c r="Q548" s="54" t="s">
        <v>18</v>
      </c>
      <c r="R548" s="163"/>
      <c r="S548" s="55" t="s">
        <v>0</v>
      </c>
      <c r="T548" s="1">
        <f t="shared" ref="T548:Z548" si="140">284.7-29.7</f>
        <v>255</v>
      </c>
      <c r="U548" s="1">
        <f>284.7-29.7+24.6-218.9</f>
        <v>60.700000000000017</v>
      </c>
      <c r="V548" s="1">
        <f>284.7-29.7+27.8-282.8</f>
        <v>0</v>
      </c>
      <c r="W548" s="1">
        <v>0</v>
      </c>
      <c r="X548" s="1">
        <v>0</v>
      </c>
      <c r="Y548" s="1">
        <v>0</v>
      </c>
      <c r="Z548" s="1">
        <f t="shared" si="140"/>
        <v>255</v>
      </c>
      <c r="AA548" s="59">
        <f>SUM(T548:Z548)</f>
        <v>570.70000000000005</v>
      </c>
      <c r="AB548" s="58">
        <v>2024</v>
      </c>
      <c r="AC548" s="120"/>
    </row>
    <row r="549" spans="1:29" ht="34.200000000000003" customHeight="1" x14ac:dyDescent="0.3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61" t="s">
        <v>153</v>
      </c>
      <c r="S549" s="146" t="s">
        <v>50</v>
      </c>
      <c r="T549" s="2">
        <v>82</v>
      </c>
      <c r="U549" s="44">
        <v>20</v>
      </c>
      <c r="V549" s="2">
        <f>82-82</f>
        <v>0</v>
      </c>
      <c r="W549" s="2">
        <v>0</v>
      </c>
      <c r="X549" s="2">
        <v>0</v>
      </c>
      <c r="Y549" s="2">
        <v>0</v>
      </c>
      <c r="Z549" s="2">
        <v>82</v>
      </c>
      <c r="AA549" s="49">
        <f>SUM(T549:Z549)</f>
        <v>184</v>
      </c>
      <c r="AB549" s="41">
        <v>2024</v>
      </c>
      <c r="AC549" s="33"/>
    </row>
    <row r="550" spans="1:29" ht="5.25" hidden="1" customHeight="1" x14ac:dyDescent="0.3">
      <c r="A550" s="54" t="s">
        <v>18</v>
      </c>
      <c r="B550" s="54" t="s">
        <v>18</v>
      </c>
      <c r="C550" s="54" t="s">
        <v>21</v>
      </c>
      <c r="D550" s="54" t="s">
        <v>18</v>
      </c>
      <c r="E550" s="54" t="s">
        <v>21</v>
      </c>
      <c r="F550" s="54" t="s">
        <v>18</v>
      </c>
      <c r="G550" s="54" t="s">
        <v>22</v>
      </c>
      <c r="H550" s="54" t="s">
        <v>18</v>
      </c>
      <c r="I550" s="54" t="s">
        <v>23</v>
      </c>
      <c r="J550" s="54" t="s">
        <v>18</v>
      </c>
      <c r="K550" s="54" t="s">
        <v>18</v>
      </c>
      <c r="L550" s="54" t="s">
        <v>20</v>
      </c>
      <c r="M550" s="54" t="s">
        <v>19</v>
      </c>
      <c r="N550" s="54" t="s">
        <v>18</v>
      </c>
      <c r="O550" s="54" t="s">
        <v>21</v>
      </c>
      <c r="P550" s="54" t="s">
        <v>21</v>
      </c>
      <c r="Q550" s="54" t="s">
        <v>18</v>
      </c>
      <c r="R550" s="163" t="s">
        <v>151</v>
      </c>
      <c r="S550" s="55" t="s">
        <v>0</v>
      </c>
      <c r="T550" s="1">
        <f t="shared" ref="T550:Z550" si="141">398.8-22.7</f>
        <v>376.1</v>
      </c>
      <c r="U550" s="1">
        <f t="shared" si="141"/>
        <v>376.1</v>
      </c>
      <c r="V550" s="1">
        <f t="shared" si="141"/>
        <v>376.1</v>
      </c>
      <c r="W550" s="1">
        <f t="shared" si="141"/>
        <v>376.1</v>
      </c>
      <c r="X550" s="1">
        <f t="shared" si="141"/>
        <v>376.1</v>
      </c>
      <c r="Y550" s="1">
        <f t="shared" si="141"/>
        <v>376.1</v>
      </c>
      <c r="Z550" s="1">
        <f t="shared" si="141"/>
        <v>376.1</v>
      </c>
      <c r="AA550" s="59">
        <f t="shared" si="136"/>
        <v>2256.6</v>
      </c>
      <c r="AB550" s="41">
        <v>2023</v>
      </c>
      <c r="AC550" s="33"/>
    </row>
    <row r="551" spans="1:29" ht="31.2" customHeight="1" x14ac:dyDescent="0.3">
      <c r="A551" s="54" t="s">
        <v>18</v>
      </c>
      <c r="B551" s="54" t="s">
        <v>18</v>
      </c>
      <c r="C551" s="54" t="s">
        <v>21</v>
      </c>
      <c r="D551" s="54" t="s">
        <v>18</v>
      </c>
      <c r="E551" s="54" t="s">
        <v>24</v>
      </c>
      <c r="F551" s="54" t="s">
        <v>18</v>
      </c>
      <c r="G551" s="54" t="s">
        <v>21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19</v>
      </c>
      <c r="N551" s="54" t="s">
        <v>18</v>
      </c>
      <c r="O551" s="54" t="s">
        <v>21</v>
      </c>
      <c r="P551" s="54" t="s">
        <v>21</v>
      </c>
      <c r="Q551" s="54" t="s">
        <v>18</v>
      </c>
      <c r="R551" s="163"/>
      <c r="S551" s="55" t="s">
        <v>0</v>
      </c>
      <c r="T551" s="1">
        <f t="shared" ref="T551:Z551" si="142">376.1+59.3</f>
        <v>435.40000000000003</v>
      </c>
      <c r="U551" s="1">
        <f>376.1+59.3+42-370.4</f>
        <v>107.00000000000006</v>
      </c>
      <c r="V551" s="1">
        <f>376.1+59.3+47.5-482.9</f>
        <v>0</v>
      </c>
      <c r="W551" s="1">
        <v>0</v>
      </c>
      <c r="X551" s="1">
        <v>0</v>
      </c>
      <c r="Y551" s="1">
        <v>0</v>
      </c>
      <c r="Z551" s="1">
        <f t="shared" si="142"/>
        <v>435.40000000000003</v>
      </c>
      <c r="AA551" s="59">
        <f>SUM(T551:Z551)</f>
        <v>977.80000000000018</v>
      </c>
      <c r="AB551" s="58">
        <v>2024</v>
      </c>
      <c r="AC551" s="33"/>
    </row>
    <row r="552" spans="1:29" ht="33" customHeight="1" x14ac:dyDescent="0.3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61" t="s">
        <v>154</v>
      </c>
      <c r="S552" s="146" t="s">
        <v>50</v>
      </c>
      <c r="T552" s="2">
        <v>140</v>
      </c>
      <c r="U552" s="44">
        <v>31</v>
      </c>
      <c r="V552" s="2">
        <f>141-141</f>
        <v>0</v>
      </c>
      <c r="W552" s="2">
        <v>0</v>
      </c>
      <c r="X552" s="2">
        <v>0</v>
      </c>
      <c r="Y552" s="2">
        <v>0</v>
      </c>
      <c r="Z552" s="2">
        <v>135</v>
      </c>
      <c r="AA552" s="49">
        <f>SUM(T552:Z552)</f>
        <v>306</v>
      </c>
      <c r="AB552" s="41">
        <v>2024</v>
      </c>
      <c r="AC552" s="33"/>
    </row>
    <row r="553" spans="1:29" ht="35.25" hidden="1" customHeight="1" x14ac:dyDescent="0.3">
      <c r="A553" s="54" t="s">
        <v>18</v>
      </c>
      <c r="B553" s="54" t="s">
        <v>18</v>
      </c>
      <c r="C553" s="54" t="s">
        <v>25</v>
      </c>
      <c r="D553" s="54" t="s">
        <v>18</v>
      </c>
      <c r="E553" s="54" t="s">
        <v>21</v>
      </c>
      <c r="F553" s="54" t="s">
        <v>18</v>
      </c>
      <c r="G553" s="54" t="s">
        <v>22</v>
      </c>
      <c r="H553" s="54" t="s">
        <v>18</v>
      </c>
      <c r="I553" s="54" t="s">
        <v>23</v>
      </c>
      <c r="J553" s="54" t="s">
        <v>18</v>
      </c>
      <c r="K553" s="54" t="s">
        <v>18</v>
      </c>
      <c r="L553" s="54" t="s">
        <v>20</v>
      </c>
      <c r="M553" s="54" t="s">
        <v>19</v>
      </c>
      <c r="N553" s="54" t="s">
        <v>18</v>
      </c>
      <c r="O553" s="54" t="s">
        <v>21</v>
      </c>
      <c r="P553" s="54" t="s">
        <v>21</v>
      </c>
      <c r="Q553" s="54" t="s">
        <v>18</v>
      </c>
      <c r="R553" s="163" t="s">
        <v>151</v>
      </c>
      <c r="S553" s="55" t="s">
        <v>0</v>
      </c>
      <c r="T553" s="1">
        <f t="shared" ref="T553:Z553" si="143">214.1-12.2</f>
        <v>201.9</v>
      </c>
      <c r="U553" s="1">
        <f t="shared" si="143"/>
        <v>201.9</v>
      </c>
      <c r="V553" s="1">
        <f t="shared" si="143"/>
        <v>201.9</v>
      </c>
      <c r="W553" s="1">
        <f t="shared" si="143"/>
        <v>201.9</v>
      </c>
      <c r="X553" s="1">
        <f t="shared" si="143"/>
        <v>201.9</v>
      </c>
      <c r="Y553" s="1">
        <f t="shared" si="143"/>
        <v>201.9</v>
      </c>
      <c r="Z553" s="1">
        <f t="shared" si="143"/>
        <v>201.9</v>
      </c>
      <c r="AA553" s="59">
        <f t="shared" si="136"/>
        <v>1211.4000000000001</v>
      </c>
      <c r="AB553" s="41">
        <v>2023</v>
      </c>
    </row>
    <row r="554" spans="1:29" ht="31.2" customHeight="1" x14ac:dyDescent="0.3">
      <c r="A554" s="54" t="s">
        <v>18</v>
      </c>
      <c r="B554" s="54" t="s">
        <v>18</v>
      </c>
      <c r="C554" s="54" t="s">
        <v>25</v>
      </c>
      <c r="D554" s="54" t="s">
        <v>18</v>
      </c>
      <c r="E554" s="54" t="s">
        <v>24</v>
      </c>
      <c r="F554" s="54" t="s">
        <v>18</v>
      </c>
      <c r="G554" s="54" t="s">
        <v>21</v>
      </c>
      <c r="H554" s="54" t="s">
        <v>19</v>
      </c>
      <c r="I554" s="54" t="s">
        <v>24</v>
      </c>
      <c r="J554" s="54" t="s">
        <v>18</v>
      </c>
      <c r="K554" s="54" t="s">
        <v>18</v>
      </c>
      <c r="L554" s="54" t="s">
        <v>22</v>
      </c>
      <c r="M554" s="54" t="s">
        <v>19</v>
      </c>
      <c r="N554" s="54" t="s">
        <v>18</v>
      </c>
      <c r="O554" s="54" t="s">
        <v>21</v>
      </c>
      <c r="P554" s="54" t="s">
        <v>21</v>
      </c>
      <c r="Q554" s="54" t="s">
        <v>18</v>
      </c>
      <c r="R554" s="163"/>
      <c r="S554" s="55" t="s">
        <v>0</v>
      </c>
      <c r="T554" s="1">
        <f>201.9+15.8</f>
        <v>217.70000000000002</v>
      </c>
      <c r="U554" s="1">
        <f>201.9+15.8+1.7+19.3-186.2</f>
        <v>52.500000000000028</v>
      </c>
      <c r="V554" s="1">
        <f>201.9+15.8+1.7+22.1-241.5</f>
        <v>0</v>
      </c>
      <c r="W554" s="1">
        <v>0</v>
      </c>
      <c r="X554" s="1">
        <v>0</v>
      </c>
      <c r="Y554" s="1">
        <v>0</v>
      </c>
      <c r="Z554" s="1">
        <f>201.9+15.8+1.7</f>
        <v>219.4</v>
      </c>
      <c r="AA554" s="59">
        <f>SUM(T554:Z554)</f>
        <v>489.6</v>
      </c>
      <c r="AB554" s="58">
        <v>2024</v>
      </c>
      <c r="AC554" s="33"/>
    </row>
    <row r="555" spans="1:29" ht="49.5" hidden="1" customHeight="1" x14ac:dyDescent="0.3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40" t="s">
        <v>155</v>
      </c>
      <c r="S555" s="41" t="s">
        <v>8</v>
      </c>
      <c r="T555" s="2">
        <v>56</v>
      </c>
      <c r="U555" s="2">
        <v>56</v>
      </c>
      <c r="V555" s="2">
        <v>56</v>
      </c>
      <c r="W555" s="2">
        <v>56</v>
      </c>
      <c r="X555" s="2">
        <v>56</v>
      </c>
      <c r="Y555" s="2">
        <v>56</v>
      </c>
      <c r="Z555" s="2">
        <v>56</v>
      </c>
      <c r="AA555" s="49">
        <f>T555+U555+V555+W555+X555+Y555+Z555</f>
        <v>392</v>
      </c>
      <c r="AB555" s="41">
        <v>2024</v>
      </c>
    </row>
    <row r="556" spans="1:29" ht="64.5" hidden="1" customHeight="1" x14ac:dyDescent="0.3">
      <c r="A556" s="54" t="s">
        <v>18</v>
      </c>
      <c r="B556" s="54" t="s">
        <v>19</v>
      </c>
      <c r="C556" s="54" t="s">
        <v>24</v>
      </c>
      <c r="D556" s="54" t="s">
        <v>18</v>
      </c>
      <c r="E556" s="54" t="s">
        <v>21</v>
      </c>
      <c r="F556" s="54" t="s">
        <v>18</v>
      </c>
      <c r="G556" s="54" t="s">
        <v>22</v>
      </c>
      <c r="H556" s="54" t="s">
        <v>18</v>
      </c>
      <c r="I556" s="54" t="s">
        <v>23</v>
      </c>
      <c r="J556" s="54" t="s">
        <v>18</v>
      </c>
      <c r="K556" s="54" t="s">
        <v>18</v>
      </c>
      <c r="L556" s="54" t="s">
        <v>22</v>
      </c>
      <c r="M556" s="54" t="s">
        <v>18</v>
      </c>
      <c r="N556" s="54" t="s">
        <v>22</v>
      </c>
      <c r="O556" s="54" t="s">
        <v>22</v>
      </c>
      <c r="P556" s="54" t="s">
        <v>18</v>
      </c>
      <c r="Q556" s="54" t="s">
        <v>22</v>
      </c>
      <c r="R556" s="68" t="s">
        <v>156</v>
      </c>
      <c r="S556" s="55" t="s">
        <v>0</v>
      </c>
      <c r="T556" s="1"/>
      <c r="U556" s="1"/>
      <c r="V556" s="1"/>
      <c r="W556" s="1"/>
      <c r="X556" s="1"/>
      <c r="Y556" s="1"/>
      <c r="Z556" s="1"/>
      <c r="AA556" s="59">
        <f>T556+U556+V556+W556+X556+Y556</f>
        <v>0</v>
      </c>
      <c r="AB556" s="146">
        <v>2020</v>
      </c>
    </row>
    <row r="557" spans="1:29" ht="34.200000000000003" customHeight="1" x14ac:dyDescent="0.3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61" t="s">
        <v>155</v>
      </c>
      <c r="S557" s="146" t="s">
        <v>50</v>
      </c>
      <c r="T557" s="44">
        <v>70</v>
      </c>
      <c r="U557" s="44">
        <v>15</v>
      </c>
      <c r="V557" s="44">
        <f>68-68</f>
        <v>0</v>
      </c>
      <c r="W557" s="44">
        <v>0</v>
      </c>
      <c r="X557" s="44">
        <v>0</v>
      </c>
      <c r="Y557" s="44">
        <v>0</v>
      </c>
      <c r="Z557" s="44">
        <v>68</v>
      </c>
      <c r="AA557" s="45">
        <f t="shared" ref="AA557:AA562" si="144">SUM(T557:Z557)</f>
        <v>153</v>
      </c>
      <c r="AB557" s="41">
        <v>2024</v>
      </c>
      <c r="AC557" s="33"/>
    </row>
    <row r="558" spans="1:29" s="131" customFormat="1" hidden="1" x14ac:dyDescent="0.3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157" t="s">
        <v>340</v>
      </c>
      <c r="S558" s="55" t="s">
        <v>0</v>
      </c>
      <c r="T558" s="1">
        <v>0</v>
      </c>
      <c r="U558" s="1">
        <f>U559+U560</f>
        <v>459.4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59">
        <f t="shared" si="144"/>
        <v>459.4</v>
      </c>
      <c r="AB558" s="55">
        <v>2019</v>
      </c>
      <c r="AC558" s="130"/>
    </row>
    <row r="559" spans="1:29" s="131" customFormat="1" ht="31.2" customHeight="1" x14ac:dyDescent="0.3">
      <c r="A559" s="54" t="s">
        <v>18</v>
      </c>
      <c r="B559" s="54" t="s">
        <v>19</v>
      </c>
      <c r="C559" s="54" t="s">
        <v>20</v>
      </c>
      <c r="D559" s="54" t="s">
        <v>18</v>
      </c>
      <c r="E559" s="54" t="s">
        <v>24</v>
      </c>
      <c r="F559" s="54" t="s">
        <v>18</v>
      </c>
      <c r="G559" s="54" t="s">
        <v>21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22</v>
      </c>
      <c r="M559" s="54" t="s">
        <v>19</v>
      </c>
      <c r="N559" s="54" t="s">
        <v>18</v>
      </c>
      <c r="O559" s="54" t="s">
        <v>21</v>
      </c>
      <c r="P559" s="54" t="s">
        <v>21</v>
      </c>
      <c r="Q559" s="54" t="s">
        <v>18</v>
      </c>
      <c r="R559" s="157"/>
      <c r="S559" s="55" t="s">
        <v>0</v>
      </c>
      <c r="T559" s="1">
        <v>0</v>
      </c>
      <c r="U559" s="1">
        <v>459.4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59">
        <f t="shared" si="144"/>
        <v>459.4</v>
      </c>
      <c r="AB559" s="55">
        <v>2019</v>
      </c>
      <c r="AC559" s="130"/>
    </row>
    <row r="560" spans="1:29" s="131" customFormat="1" hidden="1" x14ac:dyDescent="0.3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24</v>
      </c>
      <c r="F560" s="54" t="s">
        <v>18</v>
      </c>
      <c r="G560" s="54" t="s">
        <v>21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22</v>
      </c>
      <c r="M560" s="54" t="s">
        <v>18</v>
      </c>
      <c r="N560" s="54" t="s">
        <v>18</v>
      </c>
      <c r="O560" s="54" t="s">
        <v>18</v>
      </c>
      <c r="P560" s="54" t="s">
        <v>18</v>
      </c>
      <c r="Q560" s="54" t="s">
        <v>18</v>
      </c>
      <c r="R560" s="157"/>
      <c r="S560" s="55" t="s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59">
        <f t="shared" si="144"/>
        <v>0</v>
      </c>
      <c r="AB560" s="55">
        <v>2019</v>
      </c>
      <c r="AC560" s="130"/>
    </row>
    <row r="561" spans="1:30" s="72" customFormat="1" ht="46.8" x14ac:dyDescent="0.3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 t="s">
        <v>322</v>
      </c>
      <c r="N561" s="39"/>
      <c r="O561" s="39"/>
      <c r="P561" s="39"/>
      <c r="Q561" s="39"/>
      <c r="R561" s="40" t="s">
        <v>321</v>
      </c>
      <c r="S561" s="41" t="s">
        <v>287</v>
      </c>
      <c r="T561" s="44">
        <v>0</v>
      </c>
      <c r="U561" s="44">
        <v>175</v>
      </c>
      <c r="V561" s="44">
        <v>0</v>
      </c>
      <c r="W561" s="44">
        <v>0</v>
      </c>
      <c r="X561" s="44">
        <v>0</v>
      </c>
      <c r="Y561" s="44">
        <v>0</v>
      </c>
      <c r="Z561" s="44">
        <v>0</v>
      </c>
      <c r="AA561" s="49">
        <f t="shared" si="144"/>
        <v>175</v>
      </c>
      <c r="AB561" s="41">
        <v>2019</v>
      </c>
      <c r="AC561" s="111"/>
    </row>
    <row r="562" spans="1:30" s="72" customFormat="1" ht="31.2" x14ac:dyDescent="0.3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40" t="s">
        <v>302</v>
      </c>
      <c r="S562" s="41" t="s">
        <v>50</v>
      </c>
      <c r="T562" s="44">
        <v>0</v>
      </c>
      <c r="U562" s="44">
        <v>347</v>
      </c>
      <c r="V562" s="44">
        <v>0</v>
      </c>
      <c r="W562" s="44">
        <v>0</v>
      </c>
      <c r="X562" s="44">
        <v>0</v>
      </c>
      <c r="Y562" s="44">
        <v>0</v>
      </c>
      <c r="Z562" s="44">
        <v>0</v>
      </c>
      <c r="AA562" s="49">
        <f t="shared" si="144"/>
        <v>347</v>
      </c>
      <c r="AB562" s="41">
        <v>2019</v>
      </c>
      <c r="AC562" s="111"/>
    </row>
    <row r="563" spans="1:30" ht="46.8" x14ac:dyDescent="0.3">
      <c r="A563" s="54"/>
      <c r="B563" s="54"/>
      <c r="C563" s="54"/>
      <c r="D563" s="54" t="s">
        <v>18</v>
      </c>
      <c r="E563" s="54" t="s">
        <v>21</v>
      </c>
      <c r="F563" s="54" t="s">
        <v>18</v>
      </c>
      <c r="G563" s="54" t="s">
        <v>22</v>
      </c>
      <c r="H563" s="54" t="s">
        <v>19</v>
      </c>
      <c r="I563" s="54" t="s">
        <v>24</v>
      </c>
      <c r="J563" s="54" t="s">
        <v>18</v>
      </c>
      <c r="K563" s="54" t="s">
        <v>18</v>
      </c>
      <c r="L563" s="54" t="s">
        <v>22</v>
      </c>
      <c r="M563" s="54" t="s">
        <v>43</v>
      </c>
      <c r="N563" s="54" t="s">
        <v>43</v>
      </c>
      <c r="O563" s="54" t="s">
        <v>43</v>
      </c>
      <c r="P563" s="54" t="s">
        <v>43</v>
      </c>
      <c r="Q563" s="54" t="s">
        <v>43</v>
      </c>
      <c r="R563" s="68" t="s">
        <v>157</v>
      </c>
      <c r="S563" s="58" t="s">
        <v>0</v>
      </c>
      <c r="T563" s="59">
        <f t="shared" ref="T563:Y564" si="145">T565+T567+T569+T571</f>
        <v>69.999999999999986</v>
      </c>
      <c r="U563" s="59">
        <f t="shared" si="145"/>
        <v>25.8</v>
      </c>
      <c r="V563" s="59">
        <f t="shared" si="145"/>
        <v>57.699999999999996</v>
      </c>
      <c r="W563" s="59">
        <f t="shared" si="145"/>
        <v>0</v>
      </c>
      <c r="X563" s="59">
        <f t="shared" si="145"/>
        <v>0</v>
      </c>
      <c r="Y563" s="59">
        <f t="shared" si="145"/>
        <v>0</v>
      </c>
      <c r="Z563" s="59">
        <f t="shared" ref="Z563" si="146">Z565+Z567+Z569+Z571</f>
        <v>0</v>
      </c>
      <c r="AA563" s="59">
        <f>AA565+AA567+AA569+AA571</f>
        <v>153.5</v>
      </c>
      <c r="AB563" s="58">
        <v>2020</v>
      </c>
      <c r="AC563" s="120"/>
    </row>
    <row r="564" spans="1:30" ht="46.8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1" t="s">
        <v>158</v>
      </c>
      <c r="S564" s="146" t="s">
        <v>38</v>
      </c>
      <c r="T564" s="44">
        <f t="shared" si="145"/>
        <v>27</v>
      </c>
      <c r="U564" s="44">
        <f t="shared" si="145"/>
        <v>4</v>
      </c>
      <c r="V564" s="44">
        <f t="shared" si="145"/>
        <v>16</v>
      </c>
      <c r="W564" s="44">
        <f t="shared" si="145"/>
        <v>0</v>
      </c>
      <c r="X564" s="44">
        <f t="shared" si="145"/>
        <v>0</v>
      </c>
      <c r="Y564" s="44">
        <f t="shared" si="145"/>
        <v>0</v>
      </c>
      <c r="Z564" s="44">
        <f>Z566+Z568+Z570+Z572</f>
        <v>0</v>
      </c>
      <c r="AA564" s="49">
        <f>T564+U564+V564+W564+X564+Y564+Z564</f>
        <v>47</v>
      </c>
      <c r="AB564" s="41">
        <v>2020</v>
      </c>
      <c r="AC564" s="33"/>
    </row>
    <row r="565" spans="1:30" ht="46.8" x14ac:dyDescent="0.3">
      <c r="A565" s="54" t="s">
        <v>18</v>
      </c>
      <c r="B565" s="54" t="s">
        <v>18</v>
      </c>
      <c r="C565" s="54" t="s">
        <v>22</v>
      </c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43</v>
      </c>
      <c r="N565" s="54" t="s">
        <v>43</v>
      </c>
      <c r="O565" s="54" t="s">
        <v>43</v>
      </c>
      <c r="P565" s="54" t="s">
        <v>43</v>
      </c>
      <c r="Q565" s="54" t="s">
        <v>43</v>
      </c>
      <c r="R565" s="68" t="s">
        <v>159</v>
      </c>
      <c r="S565" s="55" t="s">
        <v>0</v>
      </c>
      <c r="T565" s="1">
        <f>18.2-1.8-10.9</f>
        <v>5.4999999999999982</v>
      </c>
      <c r="U565" s="1">
        <v>18.2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59">
        <f t="shared" ref="AA565:AA572" si="147">T565+U565+V565+W565+X565+Y565+Z565</f>
        <v>23.699999999999996</v>
      </c>
      <c r="AB565" s="58">
        <v>2019</v>
      </c>
      <c r="AC565" s="120"/>
    </row>
    <row r="566" spans="1:30" ht="46.8" x14ac:dyDescent="0.3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61" t="s">
        <v>160</v>
      </c>
      <c r="S566" s="146" t="s">
        <v>38</v>
      </c>
      <c r="T566" s="82">
        <v>2</v>
      </c>
      <c r="U566" s="82">
        <v>2</v>
      </c>
      <c r="V566" s="82">
        <v>0</v>
      </c>
      <c r="W566" s="82">
        <v>0</v>
      </c>
      <c r="X566" s="82">
        <v>0</v>
      </c>
      <c r="Y566" s="82">
        <v>0</v>
      </c>
      <c r="Z566" s="82">
        <v>0</v>
      </c>
      <c r="AA566" s="98">
        <f t="shared" si="147"/>
        <v>4</v>
      </c>
      <c r="AB566" s="41">
        <v>2019</v>
      </c>
      <c r="AC566" s="33"/>
    </row>
    <row r="567" spans="1:30" ht="46.8" x14ac:dyDescent="0.3">
      <c r="A567" s="54" t="s">
        <v>18</v>
      </c>
      <c r="B567" s="54" t="s">
        <v>18</v>
      </c>
      <c r="C567" s="54" t="s">
        <v>24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22</v>
      </c>
      <c r="M567" s="54" t="s">
        <v>43</v>
      </c>
      <c r="N567" s="54" t="s">
        <v>43</v>
      </c>
      <c r="O567" s="54" t="s">
        <v>43</v>
      </c>
      <c r="P567" s="54" t="s">
        <v>43</v>
      </c>
      <c r="Q567" s="54" t="s">
        <v>43</v>
      </c>
      <c r="R567" s="68" t="s">
        <v>159</v>
      </c>
      <c r="S567" s="55" t="s">
        <v>0</v>
      </c>
      <c r="T567" s="1">
        <f>72.8-43.1</f>
        <v>29.699999999999996</v>
      </c>
      <c r="U567" s="1">
        <f>31.8-31.8</f>
        <v>0</v>
      </c>
      <c r="V567" s="1">
        <v>31.8</v>
      </c>
      <c r="W567" s="1">
        <v>0</v>
      </c>
      <c r="X567" s="1">
        <v>0</v>
      </c>
      <c r="Y567" s="1">
        <v>0</v>
      </c>
      <c r="Z567" s="1">
        <v>0</v>
      </c>
      <c r="AA567" s="59">
        <f t="shared" si="147"/>
        <v>61.5</v>
      </c>
      <c r="AB567" s="58">
        <v>2020</v>
      </c>
      <c r="AC567" s="120"/>
    </row>
    <row r="568" spans="1:30" ht="46.2" customHeight="1" x14ac:dyDescent="0.3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61" t="s">
        <v>161</v>
      </c>
      <c r="S568" s="146" t="s">
        <v>38</v>
      </c>
      <c r="T568" s="82">
        <v>10</v>
      </c>
      <c r="U568" s="82">
        <v>0</v>
      </c>
      <c r="V568" s="82">
        <v>10</v>
      </c>
      <c r="W568" s="82">
        <v>0</v>
      </c>
      <c r="X568" s="82">
        <v>0</v>
      </c>
      <c r="Y568" s="82">
        <v>0</v>
      </c>
      <c r="Z568" s="82">
        <v>0</v>
      </c>
      <c r="AA568" s="98">
        <f t="shared" si="147"/>
        <v>20</v>
      </c>
      <c r="AB568" s="41">
        <v>2020</v>
      </c>
      <c r="AC568" s="33"/>
    </row>
    <row r="569" spans="1:30" ht="46.8" x14ac:dyDescent="0.3">
      <c r="A569" s="54" t="s">
        <v>18</v>
      </c>
      <c r="B569" s="54" t="s">
        <v>18</v>
      </c>
      <c r="C569" s="54" t="s">
        <v>21</v>
      </c>
      <c r="D569" s="54" t="s">
        <v>18</v>
      </c>
      <c r="E569" s="54" t="s">
        <v>21</v>
      </c>
      <c r="F569" s="54" t="s">
        <v>18</v>
      </c>
      <c r="G569" s="54" t="s">
        <v>22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43</v>
      </c>
      <c r="N569" s="54" t="s">
        <v>43</v>
      </c>
      <c r="O569" s="54" t="s">
        <v>43</v>
      </c>
      <c r="P569" s="54" t="s">
        <v>43</v>
      </c>
      <c r="Q569" s="54" t="s">
        <v>43</v>
      </c>
      <c r="R569" s="68" t="s">
        <v>162</v>
      </c>
      <c r="S569" s="55" t="s">
        <v>0</v>
      </c>
      <c r="T569" s="63">
        <f>36.4-4.4</f>
        <v>32</v>
      </c>
      <c r="U569" s="63">
        <f>34.6-34.6</f>
        <v>0</v>
      </c>
      <c r="V569" s="63">
        <f>31.8-22.8</f>
        <v>9</v>
      </c>
      <c r="W569" s="1">
        <v>0</v>
      </c>
      <c r="X569" s="1">
        <v>0</v>
      </c>
      <c r="Y569" s="1">
        <v>0</v>
      </c>
      <c r="Z569" s="1">
        <v>0</v>
      </c>
      <c r="AA569" s="59">
        <f t="shared" si="147"/>
        <v>41</v>
      </c>
      <c r="AB569" s="58">
        <v>2020</v>
      </c>
      <c r="AC569" s="119"/>
      <c r="AD569" s="102"/>
    </row>
    <row r="570" spans="1:30" ht="46.8" x14ac:dyDescent="0.3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163</v>
      </c>
      <c r="S570" s="146" t="s">
        <v>38</v>
      </c>
      <c r="T570" s="82">
        <v>14</v>
      </c>
      <c r="U570" s="82">
        <v>0</v>
      </c>
      <c r="V570" s="82">
        <v>2</v>
      </c>
      <c r="W570" s="82">
        <v>0</v>
      </c>
      <c r="X570" s="82">
        <v>0</v>
      </c>
      <c r="Y570" s="82">
        <v>0</v>
      </c>
      <c r="Z570" s="82">
        <v>0</v>
      </c>
      <c r="AA570" s="99">
        <f t="shared" si="147"/>
        <v>16</v>
      </c>
      <c r="AB570" s="41">
        <v>2020</v>
      </c>
      <c r="AC570" s="33"/>
    </row>
    <row r="571" spans="1:30" ht="46.8" x14ac:dyDescent="0.3">
      <c r="A571" s="54" t="s">
        <v>18</v>
      </c>
      <c r="B571" s="54" t="s">
        <v>18</v>
      </c>
      <c r="C571" s="54" t="s">
        <v>25</v>
      </c>
      <c r="D571" s="54" t="s">
        <v>18</v>
      </c>
      <c r="E571" s="54" t="s">
        <v>21</v>
      </c>
      <c r="F571" s="54" t="s">
        <v>18</v>
      </c>
      <c r="G571" s="54" t="s">
        <v>22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43</v>
      </c>
      <c r="N571" s="54" t="s">
        <v>43</v>
      </c>
      <c r="O571" s="54" t="s">
        <v>43</v>
      </c>
      <c r="P571" s="54" t="s">
        <v>43</v>
      </c>
      <c r="Q571" s="54" t="s">
        <v>43</v>
      </c>
      <c r="R571" s="68" t="s">
        <v>159</v>
      </c>
      <c r="S571" s="55" t="s">
        <v>0</v>
      </c>
      <c r="T571" s="1">
        <f>35-32.2</f>
        <v>2.7999999999999972</v>
      </c>
      <c r="U571" s="1">
        <f>35-27.4</f>
        <v>7.6000000000000014</v>
      </c>
      <c r="V571" s="1">
        <f>35-18.1</f>
        <v>16.899999999999999</v>
      </c>
      <c r="W571" s="1">
        <v>0</v>
      </c>
      <c r="X571" s="1">
        <v>0</v>
      </c>
      <c r="Y571" s="1">
        <v>0</v>
      </c>
      <c r="Z571" s="1">
        <v>0</v>
      </c>
      <c r="AA571" s="59">
        <f t="shared" si="147"/>
        <v>27.299999999999997</v>
      </c>
      <c r="AB571" s="58">
        <v>2020</v>
      </c>
      <c r="AC571" s="33"/>
    </row>
    <row r="572" spans="1:30" ht="46.8" x14ac:dyDescent="0.3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164</v>
      </c>
      <c r="S572" s="146" t="s">
        <v>38</v>
      </c>
      <c r="T572" s="41">
        <v>1</v>
      </c>
      <c r="U572" s="41">
        <v>2</v>
      </c>
      <c r="V572" s="41">
        <v>4</v>
      </c>
      <c r="W572" s="82">
        <v>0</v>
      </c>
      <c r="X572" s="82">
        <v>0</v>
      </c>
      <c r="Y572" s="82">
        <v>0</v>
      </c>
      <c r="Z572" s="82">
        <v>0</v>
      </c>
      <c r="AA572" s="49">
        <f t="shared" si="147"/>
        <v>7</v>
      </c>
      <c r="AB572" s="41">
        <v>2020</v>
      </c>
      <c r="AC572" s="33"/>
    </row>
    <row r="573" spans="1:30" ht="31.2" hidden="1" x14ac:dyDescent="0.3">
      <c r="A573" s="54" t="s">
        <v>18</v>
      </c>
      <c r="B573" s="54" t="s">
        <v>19</v>
      </c>
      <c r="C573" s="54" t="s">
        <v>20</v>
      </c>
      <c r="D573" s="54" t="s">
        <v>18</v>
      </c>
      <c r="E573" s="54" t="s">
        <v>24</v>
      </c>
      <c r="F573" s="54" t="s">
        <v>18</v>
      </c>
      <c r="G573" s="54" t="s">
        <v>21</v>
      </c>
      <c r="H573" s="54" t="s">
        <v>19</v>
      </c>
      <c r="I573" s="54" t="s">
        <v>24</v>
      </c>
      <c r="J573" s="54" t="s">
        <v>18</v>
      </c>
      <c r="K573" s="54" t="s">
        <v>18</v>
      </c>
      <c r="L573" s="54" t="s">
        <v>22</v>
      </c>
      <c r="M573" s="54" t="s">
        <v>18</v>
      </c>
      <c r="N573" s="54" t="s">
        <v>18</v>
      </c>
      <c r="O573" s="54" t="s">
        <v>18</v>
      </c>
      <c r="P573" s="54" t="s">
        <v>18</v>
      </c>
      <c r="Q573" s="54" t="s">
        <v>18</v>
      </c>
      <c r="R573" s="69" t="s">
        <v>303</v>
      </c>
      <c r="S573" s="58" t="s">
        <v>0</v>
      </c>
      <c r="T573" s="59">
        <v>0</v>
      </c>
      <c r="U573" s="59">
        <v>0</v>
      </c>
      <c r="V573" s="59">
        <v>0</v>
      </c>
      <c r="W573" s="1">
        <v>0</v>
      </c>
      <c r="X573" s="59">
        <v>0</v>
      </c>
      <c r="Y573" s="59">
        <v>0</v>
      </c>
      <c r="Z573" s="59">
        <v>0</v>
      </c>
      <c r="AA573" s="59">
        <f>T573+U573+V573+W573+X573+Y573</f>
        <v>0</v>
      </c>
      <c r="AB573" s="58">
        <v>2019</v>
      </c>
      <c r="AC573" s="33"/>
    </row>
    <row r="574" spans="1:30" ht="31.2" hidden="1" x14ac:dyDescent="0.3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61" t="s">
        <v>173</v>
      </c>
      <c r="S574" s="146" t="s">
        <v>38</v>
      </c>
      <c r="T574" s="41">
        <v>0</v>
      </c>
      <c r="U574" s="41">
        <v>1</v>
      </c>
      <c r="V574" s="41">
        <v>0</v>
      </c>
      <c r="W574" s="82">
        <v>0</v>
      </c>
      <c r="X574" s="41">
        <v>0</v>
      </c>
      <c r="Y574" s="41">
        <v>0</v>
      </c>
      <c r="Z574" s="41">
        <v>0</v>
      </c>
      <c r="AA574" s="49">
        <v>1</v>
      </c>
      <c r="AB574" s="41">
        <v>2019</v>
      </c>
      <c r="AC574" s="33"/>
    </row>
    <row r="575" spans="1:30" ht="78" hidden="1" x14ac:dyDescent="0.3">
      <c r="A575" s="54" t="s">
        <v>18</v>
      </c>
      <c r="B575" s="54" t="s">
        <v>19</v>
      </c>
      <c r="C575" s="54" t="s">
        <v>20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18</v>
      </c>
      <c r="N575" s="54" t="s">
        <v>18</v>
      </c>
      <c r="O575" s="54" t="s">
        <v>18</v>
      </c>
      <c r="P575" s="54" t="s">
        <v>18</v>
      </c>
      <c r="Q575" s="54" t="s">
        <v>18</v>
      </c>
      <c r="R575" s="69" t="s">
        <v>304</v>
      </c>
      <c r="S575" s="58" t="s">
        <v>0</v>
      </c>
      <c r="T575" s="59">
        <v>0</v>
      </c>
      <c r="U575" s="59">
        <v>0</v>
      </c>
      <c r="V575" s="59">
        <v>0</v>
      </c>
      <c r="W575" s="1">
        <v>0</v>
      </c>
      <c r="X575" s="59">
        <v>0</v>
      </c>
      <c r="Y575" s="59">
        <v>0</v>
      </c>
      <c r="Z575" s="59">
        <v>0</v>
      </c>
      <c r="AA575" s="59">
        <f>T575+U575+V575+W575+X575+Y575</f>
        <v>0</v>
      </c>
      <c r="AB575" s="58">
        <v>2019</v>
      </c>
      <c r="AC575" s="33"/>
    </row>
    <row r="576" spans="1:30" s="72" customFormat="1" ht="33" hidden="1" customHeight="1" x14ac:dyDescent="0.3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40" t="s">
        <v>305</v>
      </c>
      <c r="S576" s="41" t="s">
        <v>38</v>
      </c>
      <c r="T576" s="41">
        <v>0</v>
      </c>
      <c r="U576" s="41">
        <v>1</v>
      </c>
      <c r="V576" s="41">
        <v>0</v>
      </c>
      <c r="W576" s="82">
        <v>0</v>
      </c>
      <c r="X576" s="41">
        <v>0</v>
      </c>
      <c r="Y576" s="41">
        <v>0</v>
      </c>
      <c r="Z576" s="41">
        <v>0</v>
      </c>
      <c r="AA576" s="49">
        <f>U576</f>
        <v>1</v>
      </c>
      <c r="AB576" s="41">
        <v>2019</v>
      </c>
      <c r="AC576" s="111"/>
    </row>
    <row r="577" spans="1:33" ht="78" x14ac:dyDescent="0.3">
      <c r="A577" s="54" t="s">
        <v>18</v>
      </c>
      <c r="B577" s="54" t="s">
        <v>19</v>
      </c>
      <c r="C577" s="54" t="s">
        <v>20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19</v>
      </c>
      <c r="N577" s="54" t="s">
        <v>18</v>
      </c>
      <c r="O577" s="54" t="s">
        <v>21</v>
      </c>
      <c r="P577" s="54" t="s">
        <v>21</v>
      </c>
      <c r="Q577" s="54" t="s">
        <v>18</v>
      </c>
      <c r="R577" s="149" t="s">
        <v>317</v>
      </c>
      <c r="S577" s="58" t="s">
        <v>0</v>
      </c>
      <c r="T577" s="59">
        <v>0</v>
      </c>
      <c r="U577" s="59">
        <v>731.8</v>
      </c>
      <c r="V577" s="59">
        <v>0</v>
      </c>
      <c r="W577" s="59">
        <v>0</v>
      </c>
      <c r="X577" s="59">
        <v>0</v>
      </c>
      <c r="Y577" s="59">
        <v>0</v>
      </c>
      <c r="Z577" s="59">
        <v>0</v>
      </c>
      <c r="AA577" s="59">
        <f>T577+U577+V577+W577+X577+Y577</f>
        <v>731.8</v>
      </c>
      <c r="AB577" s="58">
        <v>2019</v>
      </c>
    </row>
    <row r="578" spans="1:33" s="72" customFormat="1" ht="30.6" customHeight="1" x14ac:dyDescent="0.3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306</v>
      </c>
      <c r="S578" s="41" t="s">
        <v>50</v>
      </c>
      <c r="T578" s="44">
        <v>0</v>
      </c>
      <c r="U578" s="44">
        <v>347</v>
      </c>
      <c r="V578" s="44">
        <v>0</v>
      </c>
      <c r="W578" s="44">
        <v>0</v>
      </c>
      <c r="X578" s="44">
        <v>0</v>
      </c>
      <c r="Y578" s="44">
        <v>0</v>
      </c>
      <c r="Z578" s="44">
        <v>0</v>
      </c>
      <c r="AA578" s="49">
        <f>U578</f>
        <v>347</v>
      </c>
      <c r="AB578" s="73">
        <v>2019</v>
      </c>
      <c r="AC578" s="111"/>
    </row>
    <row r="579" spans="1:33" ht="46.8" x14ac:dyDescent="0.3">
      <c r="A579" s="54" t="s">
        <v>18</v>
      </c>
      <c r="B579" s="54" t="s">
        <v>19</v>
      </c>
      <c r="C579" s="54" t="s">
        <v>20</v>
      </c>
      <c r="D579" s="54" t="s">
        <v>18</v>
      </c>
      <c r="E579" s="54" t="s">
        <v>24</v>
      </c>
      <c r="F579" s="54" t="s">
        <v>18</v>
      </c>
      <c r="G579" s="54" t="s">
        <v>21</v>
      </c>
      <c r="H579" s="54" t="s">
        <v>19</v>
      </c>
      <c r="I579" s="54" t="s">
        <v>24</v>
      </c>
      <c r="J579" s="54" t="s">
        <v>18</v>
      </c>
      <c r="K579" s="54" t="s">
        <v>18</v>
      </c>
      <c r="L579" s="54" t="s">
        <v>22</v>
      </c>
      <c r="M579" s="54" t="s">
        <v>43</v>
      </c>
      <c r="N579" s="54" t="s">
        <v>43</v>
      </c>
      <c r="O579" s="54" t="s">
        <v>43</v>
      </c>
      <c r="P579" s="54" t="s">
        <v>43</v>
      </c>
      <c r="Q579" s="54" t="s">
        <v>43</v>
      </c>
      <c r="R579" s="69" t="s">
        <v>318</v>
      </c>
      <c r="S579" s="58" t="s">
        <v>0</v>
      </c>
      <c r="T579" s="59">
        <v>0</v>
      </c>
      <c r="U579" s="59">
        <v>6000</v>
      </c>
      <c r="V579" s="59">
        <v>0</v>
      </c>
      <c r="W579" s="59">
        <v>0</v>
      </c>
      <c r="X579" s="59">
        <v>0</v>
      </c>
      <c r="Y579" s="59">
        <v>0</v>
      </c>
      <c r="Z579" s="59">
        <v>0</v>
      </c>
      <c r="AA579" s="59">
        <f>T579+U579+V579+W579+X579+Y579</f>
        <v>6000</v>
      </c>
      <c r="AB579" s="58">
        <v>2019</v>
      </c>
      <c r="AC579" s="33"/>
    </row>
    <row r="580" spans="1:33" s="72" customFormat="1" ht="46.8" x14ac:dyDescent="0.3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40" t="s">
        <v>320</v>
      </c>
      <c r="S580" s="41" t="s">
        <v>38</v>
      </c>
      <c r="T580" s="41">
        <v>0</v>
      </c>
      <c r="U580" s="41">
        <v>1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9">
        <f>U580</f>
        <v>1</v>
      </c>
      <c r="AB580" s="41">
        <v>2019</v>
      </c>
      <c r="AC580" s="111"/>
    </row>
    <row r="581" spans="1:33" ht="31.2" x14ac:dyDescent="0.3">
      <c r="A581" s="46"/>
      <c r="B581" s="46"/>
      <c r="C581" s="46"/>
      <c r="D581" s="46"/>
      <c r="E581" s="46"/>
      <c r="F581" s="46"/>
      <c r="G581" s="46"/>
      <c r="H581" s="46" t="s">
        <v>19</v>
      </c>
      <c r="I581" s="46" t="s">
        <v>24</v>
      </c>
      <c r="J581" s="46" t="s">
        <v>18</v>
      </c>
      <c r="K581" s="46" t="s">
        <v>18</v>
      </c>
      <c r="L581" s="46" t="s">
        <v>24</v>
      </c>
      <c r="M581" s="46" t="s">
        <v>18</v>
      </c>
      <c r="N581" s="46" t="s">
        <v>18</v>
      </c>
      <c r="O581" s="46" t="s">
        <v>18</v>
      </c>
      <c r="P581" s="46" t="s">
        <v>18</v>
      </c>
      <c r="Q581" s="46" t="s">
        <v>18</v>
      </c>
      <c r="R581" s="75" t="s">
        <v>54</v>
      </c>
      <c r="S581" s="142" t="s">
        <v>0</v>
      </c>
      <c r="T581" s="141">
        <f t="shared" ref="T581:Y581" si="148">T583+T591+T594</f>
        <v>25348.3</v>
      </c>
      <c r="U581" s="141">
        <f t="shared" si="148"/>
        <v>35592.6</v>
      </c>
      <c r="V581" s="141">
        <f t="shared" si="148"/>
        <v>25348.3</v>
      </c>
      <c r="W581" s="141">
        <f>W583+W591+W594</f>
        <v>26934.5</v>
      </c>
      <c r="X581" s="141">
        <f>X583+X591+X594</f>
        <v>21770.400000000001</v>
      </c>
      <c r="Y581" s="141">
        <f t="shared" si="148"/>
        <v>21770.400000000001</v>
      </c>
      <c r="Z581" s="141">
        <f t="shared" ref="Z581" si="149">Z583+Z591+Z594</f>
        <v>21770.400000000001</v>
      </c>
      <c r="AA581" s="141">
        <f>SUM(T581:Z581)</f>
        <v>178534.9</v>
      </c>
      <c r="AB581" s="142">
        <v>2024</v>
      </c>
    </row>
    <row r="582" spans="1:33" ht="31.8" customHeight="1" x14ac:dyDescent="0.3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92" t="s">
        <v>165</v>
      </c>
      <c r="S582" s="146" t="s">
        <v>52</v>
      </c>
      <c r="T582" s="137">
        <f>T586</f>
        <v>2225</v>
      </c>
      <c r="U582" s="137">
        <f t="shared" ref="U582:AA582" si="150">U586</f>
        <v>2224</v>
      </c>
      <c r="V582" s="137">
        <f t="shared" si="150"/>
        <v>2224</v>
      </c>
      <c r="W582" s="137">
        <f t="shared" si="150"/>
        <v>2224</v>
      </c>
      <c r="X582" s="137">
        <f t="shared" si="150"/>
        <v>2224</v>
      </c>
      <c r="Y582" s="137">
        <f t="shared" si="150"/>
        <v>2224</v>
      </c>
      <c r="Z582" s="137">
        <f t="shared" ref="Z582" si="151">Z586</f>
        <v>2224</v>
      </c>
      <c r="AA582" s="138">
        <f t="shared" si="150"/>
        <v>2224</v>
      </c>
      <c r="AB582" s="41">
        <v>2024</v>
      </c>
      <c r="AD582" s="12"/>
      <c r="AE582" s="12"/>
      <c r="AF582" s="12"/>
      <c r="AG582" s="12"/>
    </row>
    <row r="583" spans="1:33" ht="18.600000000000001" customHeight="1" x14ac:dyDescent="0.3">
      <c r="A583" s="54"/>
      <c r="B583" s="54"/>
      <c r="C583" s="54"/>
      <c r="D583" s="54" t="s">
        <v>18</v>
      </c>
      <c r="E583" s="54" t="s">
        <v>21</v>
      </c>
      <c r="F583" s="54" t="s">
        <v>18</v>
      </c>
      <c r="G583" s="54" t="s">
        <v>22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24</v>
      </c>
      <c r="M583" s="54" t="s">
        <v>43</v>
      </c>
      <c r="N583" s="54" t="s">
        <v>43</v>
      </c>
      <c r="O583" s="54" t="s">
        <v>43</v>
      </c>
      <c r="P583" s="54" t="s">
        <v>43</v>
      </c>
      <c r="Q583" s="54" t="s">
        <v>43</v>
      </c>
      <c r="R583" s="164" t="s">
        <v>166</v>
      </c>
      <c r="S583" s="167" t="s">
        <v>0</v>
      </c>
      <c r="T583" s="59">
        <v>25348.3</v>
      </c>
      <c r="U583" s="59">
        <f>23600+1311.8</f>
        <v>24911.8</v>
      </c>
      <c r="V583" s="59">
        <f>V584+V585</f>
        <v>25348.3</v>
      </c>
      <c r="W583" s="59">
        <f t="shared" ref="W583:Y583" si="152">W584+W585</f>
        <v>22802.2</v>
      </c>
      <c r="X583" s="59">
        <f t="shared" si="152"/>
        <v>21770.400000000001</v>
      </c>
      <c r="Y583" s="59">
        <f t="shared" si="152"/>
        <v>21770.400000000001</v>
      </c>
      <c r="Z583" s="59">
        <f>Z584+Z585</f>
        <v>21770.400000000001</v>
      </c>
      <c r="AA583" s="59">
        <f>SUM(T583:Z583)</f>
        <v>163721.79999999999</v>
      </c>
      <c r="AB583" s="58">
        <v>2024</v>
      </c>
      <c r="AC583" s="33"/>
    </row>
    <row r="584" spans="1:33" x14ac:dyDescent="0.3">
      <c r="A584" s="54" t="s">
        <v>18</v>
      </c>
      <c r="B584" s="54" t="s">
        <v>19</v>
      </c>
      <c r="C584" s="54" t="s">
        <v>20</v>
      </c>
      <c r="D584" s="54" t="s">
        <v>18</v>
      </c>
      <c r="E584" s="54" t="s">
        <v>21</v>
      </c>
      <c r="F584" s="54" t="s">
        <v>18</v>
      </c>
      <c r="G584" s="54" t="s">
        <v>22</v>
      </c>
      <c r="H584" s="54" t="s">
        <v>19</v>
      </c>
      <c r="I584" s="54" t="s">
        <v>24</v>
      </c>
      <c r="J584" s="54" t="s">
        <v>18</v>
      </c>
      <c r="K584" s="54" t="s">
        <v>18</v>
      </c>
      <c r="L584" s="54" t="s">
        <v>24</v>
      </c>
      <c r="M584" s="54" t="s">
        <v>43</v>
      </c>
      <c r="N584" s="54" t="s">
        <v>43</v>
      </c>
      <c r="O584" s="54" t="s">
        <v>43</v>
      </c>
      <c r="P584" s="54" t="s">
        <v>43</v>
      </c>
      <c r="Q584" s="54" t="s">
        <v>43</v>
      </c>
      <c r="R584" s="165"/>
      <c r="S584" s="168"/>
      <c r="T584" s="1">
        <v>25348.3</v>
      </c>
      <c r="U584" s="1">
        <v>24911.8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59">
        <f t="shared" ref="AA584:AA585" si="153">SUM(T584:Z584)</f>
        <v>50260.1</v>
      </c>
      <c r="AB584" s="55">
        <v>2019</v>
      </c>
      <c r="AC584" s="33"/>
    </row>
    <row r="585" spans="1:33" x14ac:dyDescent="0.3">
      <c r="A585" s="54" t="s">
        <v>18</v>
      </c>
      <c r="B585" s="54" t="s">
        <v>19</v>
      </c>
      <c r="C585" s="54" t="s">
        <v>24</v>
      </c>
      <c r="D585" s="54" t="s">
        <v>18</v>
      </c>
      <c r="E585" s="54" t="s">
        <v>21</v>
      </c>
      <c r="F585" s="54" t="s">
        <v>18</v>
      </c>
      <c r="G585" s="54" t="s">
        <v>22</v>
      </c>
      <c r="H585" s="54" t="s">
        <v>19</v>
      </c>
      <c r="I585" s="54" t="s">
        <v>24</v>
      </c>
      <c r="J585" s="54" t="s">
        <v>18</v>
      </c>
      <c r="K585" s="54" t="s">
        <v>18</v>
      </c>
      <c r="L585" s="54" t="s">
        <v>24</v>
      </c>
      <c r="M585" s="54" t="s">
        <v>43</v>
      </c>
      <c r="N585" s="54" t="s">
        <v>43</v>
      </c>
      <c r="O585" s="54" t="s">
        <v>43</v>
      </c>
      <c r="P585" s="54" t="s">
        <v>43</v>
      </c>
      <c r="Q585" s="54" t="s">
        <v>43</v>
      </c>
      <c r="R585" s="166"/>
      <c r="S585" s="169"/>
      <c r="T585" s="1">
        <v>0</v>
      </c>
      <c r="U585" s="1">
        <v>0</v>
      </c>
      <c r="V585" s="1">
        <v>25348.3</v>
      </c>
      <c r="W585" s="1">
        <f>21770.4+1031.8</f>
        <v>22802.2</v>
      </c>
      <c r="X585" s="1">
        <v>21770.400000000001</v>
      </c>
      <c r="Y585" s="1">
        <v>21770.400000000001</v>
      </c>
      <c r="Z585" s="1">
        <v>21770.400000000001</v>
      </c>
      <c r="AA585" s="59">
        <f t="shared" si="153"/>
        <v>113461.69999999998</v>
      </c>
      <c r="AB585" s="55">
        <v>2024</v>
      </c>
      <c r="AC585" s="33"/>
    </row>
    <row r="586" spans="1:33" ht="34.200000000000003" customHeight="1" x14ac:dyDescent="0.3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80" t="s">
        <v>167</v>
      </c>
      <c r="S586" s="146" t="s">
        <v>52</v>
      </c>
      <c r="T586" s="2">
        <v>2225</v>
      </c>
      <c r="U586" s="44">
        <v>2224</v>
      </c>
      <c r="V586" s="44">
        <v>2224</v>
      </c>
      <c r="W586" s="44">
        <v>2224</v>
      </c>
      <c r="X586" s="44">
        <v>2224</v>
      </c>
      <c r="Y586" s="44">
        <v>2224</v>
      </c>
      <c r="Z586" s="44">
        <v>2224</v>
      </c>
      <c r="AA586" s="45">
        <f>Z586</f>
        <v>2224</v>
      </c>
      <c r="AB586" s="41">
        <v>2024</v>
      </c>
      <c r="AC586" s="33"/>
    </row>
    <row r="587" spans="1:33" ht="31.2" x14ac:dyDescent="0.3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61" t="s">
        <v>168</v>
      </c>
      <c r="S587" s="146" t="s">
        <v>53</v>
      </c>
      <c r="T587" s="2">
        <v>365</v>
      </c>
      <c r="U587" s="2">
        <v>365</v>
      </c>
      <c r="V587" s="44">
        <v>366</v>
      </c>
      <c r="W587" s="44">
        <v>365</v>
      </c>
      <c r="X587" s="2">
        <v>365</v>
      </c>
      <c r="Y587" s="2">
        <v>365</v>
      </c>
      <c r="Z587" s="2">
        <v>366</v>
      </c>
      <c r="AA587" s="45">
        <f>T587+U587+V587+W587+X587+Y587+Z587</f>
        <v>2557</v>
      </c>
      <c r="AB587" s="41">
        <v>2024</v>
      </c>
      <c r="AC587" s="33"/>
    </row>
    <row r="588" spans="1:33" ht="32.25" customHeight="1" x14ac:dyDescent="0.3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169</v>
      </c>
      <c r="S588" s="146" t="s">
        <v>38</v>
      </c>
      <c r="T588" s="2">
        <v>4917</v>
      </c>
      <c r="U588" s="2">
        <v>5400</v>
      </c>
      <c r="V588" s="2">
        <v>4794</v>
      </c>
      <c r="W588" s="44">
        <v>4878</v>
      </c>
      <c r="X588" s="2">
        <v>4878</v>
      </c>
      <c r="Y588" s="2">
        <v>5400</v>
      </c>
      <c r="Z588" s="2">
        <v>5400</v>
      </c>
      <c r="AA588" s="45">
        <f t="shared" ref="AA588:AA590" si="154">T588+U588+V588+W588+X588+Y588+Z588</f>
        <v>35667</v>
      </c>
      <c r="AB588" s="41">
        <v>2024</v>
      </c>
      <c r="AC588" s="123"/>
      <c r="AD588" s="102"/>
    </row>
    <row r="589" spans="1:33" ht="46.8" x14ac:dyDescent="0.3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61" t="s">
        <v>170</v>
      </c>
      <c r="S589" s="146" t="s">
        <v>38</v>
      </c>
      <c r="T589" s="2">
        <v>4598</v>
      </c>
      <c r="U589" s="44">
        <v>4558</v>
      </c>
      <c r="V589" s="2">
        <v>4594</v>
      </c>
      <c r="W589" s="44">
        <v>4558</v>
      </c>
      <c r="X589" s="2">
        <v>4558</v>
      </c>
      <c r="Y589" s="2">
        <v>4558</v>
      </c>
      <c r="Z589" s="2">
        <v>4558</v>
      </c>
      <c r="AA589" s="45">
        <f t="shared" si="154"/>
        <v>31982</v>
      </c>
      <c r="AB589" s="41">
        <v>2024</v>
      </c>
      <c r="AC589" s="123"/>
      <c r="AD589" s="102"/>
    </row>
    <row r="590" spans="1:33" ht="46.8" x14ac:dyDescent="0.3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61" t="s">
        <v>171</v>
      </c>
      <c r="S590" s="146" t="s">
        <v>38</v>
      </c>
      <c r="T590" s="2">
        <v>488</v>
      </c>
      <c r="U590" s="2">
        <v>550</v>
      </c>
      <c r="V590" s="2">
        <v>516</v>
      </c>
      <c r="W590" s="44">
        <v>490</v>
      </c>
      <c r="X590" s="2">
        <v>490</v>
      </c>
      <c r="Y590" s="2">
        <v>550</v>
      </c>
      <c r="Z590" s="2">
        <v>550</v>
      </c>
      <c r="AA590" s="45">
        <f t="shared" si="154"/>
        <v>3634</v>
      </c>
      <c r="AB590" s="41">
        <v>2024</v>
      </c>
      <c r="AC590" s="123"/>
      <c r="AD590" s="102"/>
    </row>
    <row r="591" spans="1:33" ht="39.6" hidden="1" customHeight="1" x14ac:dyDescent="0.3">
      <c r="A591" s="54" t="s">
        <v>18</v>
      </c>
      <c r="B591" s="54" t="s">
        <v>19</v>
      </c>
      <c r="C591" s="54" t="s">
        <v>20</v>
      </c>
      <c r="D591" s="54" t="s">
        <v>18</v>
      </c>
      <c r="E591" s="54" t="s">
        <v>21</v>
      </c>
      <c r="F591" s="54" t="s">
        <v>18</v>
      </c>
      <c r="G591" s="54" t="s">
        <v>22</v>
      </c>
      <c r="H591" s="54" t="s">
        <v>19</v>
      </c>
      <c r="I591" s="54" t="s">
        <v>24</v>
      </c>
      <c r="J591" s="54" t="s">
        <v>18</v>
      </c>
      <c r="K591" s="54" t="s">
        <v>18</v>
      </c>
      <c r="L591" s="54" t="s">
        <v>24</v>
      </c>
      <c r="M591" s="54" t="s">
        <v>18</v>
      </c>
      <c r="N591" s="54" t="s">
        <v>18</v>
      </c>
      <c r="O591" s="54" t="s">
        <v>18</v>
      </c>
      <c r="P591" s="54" t="s">
        <v>18</v>
      </c>
      <c r="Q591" s="54" t="s">
        <v>19</v>
      </c>
      <c r="R591" s="149" t="s">
        <v>172</v>
      </c>
      <c r="S591" s="58" t="s">
        <v>0</v>
      </c>
      <c r="T591" s="59">
        <v>0</v>
      </c>
      <c r="U591" s="59">
        <f>4000-4000</f>
        <v>0</v>
      </c>
      <c r="V591" s="59">
        <v>0</v>
      </c>
      <c r="W591" s="59">
        <v>0</v>
      </c>
      <c r="X591" s="59">
        <v>0</v>
      </c>
      <c r="Y591" s="59">
        <v>0</v>
      </c>
      <c r="Z591" s="59">
        <v>0</v>
      </c>
      <c r="AA591" s="59">
        <f>T591+U591+V591+W591+X591+Y591</f>
        <v>0</v>
      </c>
      <c r="AB591" s="58"/>
      <c r="AC591" s="33"/>
      <c r="AD591" s="102"/>
    </row>
    <row r="592" spans="1:33" ht="33.6" hidden="1" customHeight="1" x14ac:dyDescent="0.3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40" t="s">
        <v>284</v>
      </c>
      <c r="S592" s="41" t="s">
        <v>38</v>
      </c>
      <c r="T592" s="44">
        <v>0</v>
      </c>
      <c r="U592" s="44">
        <v>0</v>
      </c>
      <c r="V592" s="44">
        <v>0</v>
      </c>
      <c r="W592" s="44">
        <v>0</v>
      </c>
      <c r="X592" s="44">
        <v>0</v>
      </c>
      <c r="Y592" s="44">
        <v>0</v>
      </c>
      <c r="Z592" s="44">
        <v>0</v>
      </c>
      <c r="AA592" s="49">
        <v>0</v>
      </c>
      <c r="AB592" s="41"/>
      <c r="AC592" s="33"/>
      <c r="AD592" s="104"/>
      <c r="AE592" s="104"/>
    </row>
    <row r="593" spans="1:31" ht="31.2" hidden="1" x14ac:dyDescent="0.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40" t="s">
        <v>80</v>
      </c>
      <c r="S593" s="95" t="s">
        <v>9</v>
      </c>
      <c r="T593" s="44">
        <v>0</v>
      </c>
      <c r="U593" s="44">
        <v>0</v>
      </c>
      <c r="V593" s="44">
        <v>0</v>
      </c>
      <c r="W593" s="44">
        <v>0</v>
      </c>
      <c r="X593" s="44">
        <v>0</v>
      </c>
      <c r="Y593" s="44">
        <v>0</v>
      </c>
      <c r="Z593" s="44">
        <v>0</v>
      </c>
      <c r="AA593" s="49">
        <v>0</v>
      </c>
      <c r="AB593" s="41"/>
      <c r="AC593" s="33"/>
    </row>
    <row r="594" spans="1:31" x14ac:dyDescent="0.3">
      <c r="A594" s="54"/>
      <c r="B594" s="54"/>
      <c r="C594" s="54"/>
      <c r="D594" s="54" t="s">
        <v>18</v>
      </c>
      <c r="E594" s="54" t="s">
        <v>21</v>
      </c>
      <c r="F594" s="54" t="s">
        <v>18</v>
      </c>
      <c r="G594" s="54" t="s">
        <v>22</v>
      </c>
      <c r="H594" s="54" t="s">
        <v>19</v>
      </c>
      <c r="I594" s="54" t="s">
        <v>24</v>
      </c>
      <c r="J594" s="54" t="s">
        <v>18</v>
      </c>
      <c r="K594" s="54" t="s">
        <v>18</v>
      </c>
      <c r="L594" s="54" t="s">
        <v>24</v>
      </c>
      <c r="M594" s="54" t="s">
        <v>43</v>
      </c>
      <c r="N594" s="54" t="s">
        <v>43</v>
      </c>
      <c r="O594" s="54" t="s">
        <v>43</v>
      </c>
      <c r="P594" s="54" t="s">
        <v>43</v>
      </c>
      <c r="Q594" s="54" t="s">
        <v>43</v>
      </c>
      <c r="R594" s="164" t="s">
        <v>341</v>
      </c>
      <c r="S594" s="167" t="s">
        <v>0</v>
      </c>
      <c r="T594" s="59">
        <f>T595+T596</f>
        <v>0</v>
      </c>
      <c r="U594" s="59">
        <f t="shared" ref="U594:Z594" si="155">U595+U596</f>
        <v>10680.8</v>
      </c>
      <c r="V594" s="59">
        <f t="shared" si="155"/>
        <v>0</v>
      </c>
      <c r="W594" s="59">
        <f t="shared" si="155"/>
        <v>4132.3</v>
      </c>
      <c r="X594" s="59">
        <f t="shared" si="155"/>
        <v>0</v>
      </c>
      <c r="Y594" s="59">
        <f t="shared" si="155"/>
        <v>0</v>
      </c>
      <c r="Z594" s="59">
        <f t="shared" si="155"/>
        <v>0</v>
      </c>
      <c r="AA594" s="59">
        <f>SUM(T594:Z594)</f>
        <v>14813.099999999999</v>
      </c>
      <c r="AB594" s="58">
        <v>2021</v>
      </c>
      <c r="AC594" s="33"/>
      <c r="AD594" s="102"/>
    </row>
    <row r="595" spans="1:31" x14ac:dyDescent="0.3">
      <c r="A595" s="54" t="s">
        <v>18</v>
      </c>
      <c r="B595" s="54" t="s">
        <v>19</v>
      </c>
      <c r="C595" s="54" t="s">
        <v>20</v>
      </c>
      <c r="D595" s="54" t="s">
        <v>18</v>
      </c>
      <c r="E595" s="54" t="s">
        <v>21</v>
      </c>
      <c r="F595" s="54" t="s">
        <v>18</v>
      </c>
      <c r="G595" s="54" t="s">
        <v>22</v>
      </c>
      <c r="H595" s="54" t="s">
        <v>19</v>
      </c>
      <c r="I595" s="54" t="s">
        <v>24</v>
      </c>
      <c r="J595" s="54" t="s">
        <v>18</v>
      </c>
      <c r="K595" s="54" t="s">
        <v>18</v>
      </c>
      <c r="L595" s="54" t="s">
        <v>24</v>
      </c>
      <c r="M595" s="54" t="s">
        <v>43</v>
      </c>
      <c r="N595" s="54" t="s">
        <v>43</v>
      </c>
      <c r="O595" s="54" t="s">
        <v>43</v>
      </c>
      <c r="P595" s="54" t="s">
        <v>43</v>
      </c>
      <c r="Q595" s="54" t="s">
        <v>43</v>
      </c>
      <c r="R595" s="165"/>
      <c r="S595" s="168"/>
      <c r="T595" s="1">
        <v>0</v>
      </c>
      <c r="U595" s="1">
        <v>10680.8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59">
        <f t="shared" ref="AA595:AA596" si="156">SUM(T595:Z595)</f>
        <v>10680.8</v>
      </c>
      <c r="AB595" s="58">
        <v>2019</v>
      </c>
      <c r="AC595" s="33"/>
      <c r="AD595" s="102"/>
    </row>
    <row r="596" spans="1:31" x14ac:dyDescent="0.3">
      <c r="A596" s="54" t="s">
        <v>18</v>
      </c>
      <c r="B596" s="54" t="s">
        <v>19</v>
      </c>
      <c r="C596" s="54" t="s">
        <v>24</v>
      </c>
      <c r="D596" s="54" t="s">
        <v>18</v>
      </c>
      <c r="E596" s="54" t="s">
        <v>21</v>
      </c>
      <c r="F596" s="54" t="s">
        <v>18</v>
      </c>
      <c r="G596" s="54" t="s">
        <v>22</v>
      </c>
      <c r="H596" s="54" t="s">
        <v>19</v>
      </c>
      <c r="I596" s="54" t="s">
        <v>24</v>
      </c>
      <c r="J596" s="54" t="s">
        <v>18</v>
      </c>
      <c r="K596" s="54" t="s">
        <v>18</v>
      </c>
      <c r="L596" s="54" t="s">
        <v>24</v>
      </c>
      <c r="M596" s="54" t="s">
        <v>43</v>
      </c>
      <c r="N596" s="54" t="s">
        <v>43</v>
      </c>
      <c r="O596" s="54" t="s">
        <v>43</v>
      </c>
      <c r="P596" s="54" t="s">
        <v>43</v>
      </c>
      <c r="Q596" s="54" t="s">
        <v>43</v>
      </c>
      <c r="R596" s="166"/>
      <c r="S596" s="169"/>
      <c r="T596" s="1">
        <v>0</v>
      </c>
      <c r="U596" s="1">
        <v>0</v>
      </c>
      <c r="V596" s="1">
        <v>0</v>
      </c>
      <c r="W596" s="1">
        <v>4132.3</v>
      </c>
      <c r="X596" s="1">
        <v>0</v>
      </c>
      <c r="Y596" s="1">
        <v>0</v>
      </c>
      <c r="Z596" s="1">
        <v>0</v>
      </c>
      <c r="AA596" s="59">
        <f t="shared" si="156"/>
        <v>4132.3</v>
      </c>
      <c r="AB596" s="58">
        <v>2021</v>
      </c>
      <c r="AC596" s="33"/>
      <c r="AD596" s="102"/>
    </row>
    <row r="597" spans="1:31" ht="31.2" x14ac:dyDescent="0.3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40" t="s">
        <v>285</v>
      </c>
      <c r="S597" s="41" t="s">
        <v>38</v>
      </c>
      <c r="T597" s="44">
        <v>0</v>
      </c>
      <c r="U597" s="44">
        <v>7300</v>
      </c>
      <c r="V597" s="44">
        <v>0</v>
      </c>
      <c r="W597" s="44">
        <v>7300</v>
      </c>
      <c r="X597" s="44">
        <v>0</v>
      </c>
      <c r="Y597" s="44">
        <v>0</v>
      </c>
      <c r="Z597" s="44">
        <v>0</v>
      </c>
      <c r="AA597" s="49">
        <f>U597</f>
        <v>7300</v>
      </c>
      <c r="AB597" s="41">
        <v>2021</v>
      </c>
      <c r="AC597" s="33"/>
      <c r="AD597" s="104"/>
      <c r="AE597" s="104"/>
    </row>
    <row r="598" spans="1:31" x14ac:dyDescent="0.3">
      <c r="AB598" s="145" t="s">
        <v>58</v>
      </c>
    </row>
    <row r="599" spans="1:31" ht="31.2" customHeight="1" x14ac:dyDescent="0.3"/>
    <row r="600" spans="1:31" ht="40.200000000000003" customHeight="1" x14ac:dyDescent="0.3">
      <c r="A600" s="162" t="s">
        <v>362</v>
      </c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</row>
  </sheetData>
  <mergeCells count="94">
    <mergeCell ref="R273:R282"/>
    <mergeCell ref="S273:S282"/>
    <mergeCell ref="R316:R327"/>
    <mergeCell ref="S316:S327"/>
    <mergeCell ref="R243:R246"/>
    <mergeCell ref="R248:R252"/>
    <mergeCell ref="R254:R258"/>
    <mergeCell ref="R260:R264"/>
    <mergeCell ref="R267:R271"/>
    <mergeCell ref="R285:R289"/>
    <mergeCell ref="R291:R294"/>
    <mergeCell ref="R296:R299"/>
    <mergeCell ref="R301:R304"/>
    <mergeCell ref="R306:R309"/>
    <mergeCell ref="R311:R314"/>
    <mergeCell ref="A1:AB1"/>
    <mergeCell ref="A4:AB4"/>
    <mergeCell ref="A5:AB5"/>
    <mergeCell ref="A6:AB6"/>
    <mergeCell ref="A3:AB3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R39:R43"/>
    <mergeCell ref="R49:R52"/>
    <mergeCell ref="R180:R182"/>
    <mergeCell ref="R187:R190"/>
    <mergeCell ref="R194:R197"/>
    <mergeCell ref="R70:R75"/>
    <mergeCell ref="R77:R80"/>
    <mergeCell ref="R133:R138"/>
    <mergeCell ref="R201:R204"/>
    <mergeCell ref="R208:R211"/>
    <mergeCell ref="R215:R218"/>
    <mergeCell ref="R238:R241"/>
    <mergeCell ref="R226:R234"/>
    <mergeCell ref="R330:R334"/>
    <mergeCell ref="R336:R341"/>
    <mergeCell ref="R343:R348"/>
    <mergeCell ref="R350:R355"/>
    <mergeCell ref="R357:R362"/>
    <mergeCell ref="R364:R369"/>
    <mergeCell ref="R453:R456"/>
    <mergeCell ref="R371:R376"/>
    <mergeCell ref="R378:R383"/>
    <mergeCell ref="R385:R390"/>
    <mergeCell ref="R392:R396"/>
    <mergeCell ref="R398:R402"/>
    <mergeCell ref="R404:R409"/>
    <mergeCell ref="R423:R427"/>
    <mergeCell ref="R429:R433"/>
    <mergeCell ref="R435:R439"/>
    <mergeCell ref="R441:R445"/>
    <mergeCell ref="R447:R451"/>
    <mergeCell ref="R411:R419"/>
    <mergeCell ref="R544:R545"/>
    <mergeCell ref="A600:AB600"/>
    <mergeCell ref="R547:R548"/>
    <mergeCell ref="R550:R551"/>
    <mergeCell ref="R553:R554"/>
    <mergeCell ref="R558:R560"/>
    <mergeCell ref="R583:R585"/>
    <mergeCell ref="S583:S585"/>
    <mergeCell ref="R594:R596"/>
    <mergeCell ref="S594:S596"/>
    <mergeCell ref="R541:R542"/>
    <mergeCell ref="R458:R462"/>
    <mergeCell ref="R464:R468"/>
    <mergeCell ref="R470:R474"/>
    <mergeCell ref="R476:R480"/>
    <mergeCell ref="R482:R486"/>
    <mergeCell ref="R506:R508"/>
    <mergeCell ref="S133:S138"/>
    <mergeCell ref="S70:S75"/>
    <mergeCell ref="S77:S80"/>
    <mergeCell ref="S39:S43"/>
    <mergeCell ref="S506:S508"/>
    <mergeCell ref="S215:S218"/>
    <mergeCell ref="S208:S211"/>
    <mergeCell ref="S194:S197"/>
    <mergeCell ref="S201:S204"/>
    <mergeCell ref="S187:S190"/>
    <mergeCell ref="S411:S419"/>
    <mergeCell ref="S226:S234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2021-10-20T06:27:46Z</dcterms:modified>
</cp:coreProperties>
</file>